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2855" windowHeight="8355" activeTab="0"/>
  </bookViews>
  <sheets>
    <sheet name="Currents (500 V)" sheetId="1" r:id="rId1"/>
    <sheet name="Currents (900 V)" sheetId="2" r:id="rId2"/>
  </sheets>
  <definedNames/>
  <calcPr fullCalcOnLoad="1"/>
</workbook>
</file>

<file path=xl/sharedStrings.xml><?xml version="1.0" encoding="utf-8"?>
<sst xmlns="http://schemas.openxmlformats.org/spreadsheetml/2006/main" count="105" uniqueCount="40">
  <si>
    <t>Initial Conditions</t>
  </si>
  <si>
    <t>Fluence</t>
  </si>
  <si>
    <t>Current</t>
  </si>
  <si>
    <r>
      <t>n</t>
    </r>
    <r>
      <rPr>
        <b/>
        <vertAlign val="subscript"/>
        <sz val="11"/>
        <color indexed="8"/>
        <rFont val="Calibri"/>
        <family val="2"/>
      </rPr>
      <t>eq</t>
    </r>
    <r>
      <rPr>
        <b/>
        <sz val="11"/>
        <color indexed="8"/>
        <rFont val="Calibri"/>
        <family val="2"/>
      </rPr>
      <t>/cm</t>
    </r>
    <r>
      <rPr>
        <b/>
        <vertAlign val="superscript"/>
        <sz val="11"/>
        <color indexed="8"/>
        <rFont val="Calibri"/>
        <family val="2"/>
      </rPr>
      <t>2</t>
    </r>
  </si>
  <si>
    <t>Current @-25 C no annealing</t>
  </si>
  <si>
    <r>
      <rPr>
        <sz val="11"/>
        <color indexed="8"/>
        <rFont val="Symbol"/>
        <family val="1"/>
      </rPr>
      <t>m</t>
    </r>
    <r>
      <rPr>
        <sz val="11"/>
        <color indexed="8"/>
        <rFont val="Calibri"/>
        <family val="2"/>
      </rPr>
      <t>A per cm</t>
    </r>
    <r>
      <rPr>
        <vertAlign val="superscript"/>
        <sz val="11"/>
        <color indexed="8"/>
        <rFont val="Calibri"/>
        <family val="2"/>
      </rPr>
      <t>2</t>
    </r>
  </si>
  <si>
    <t>Annealing</t>
  </si>
  <si>
    <t>Days @20 C</t>
  </si>
  <si>
    <t>Operating Temperature</t>
  </si>
  <si>
    <t>Scaling Factor to operating temperature</t>
  </si>
  <si>
    <t>Scaling Factor to 0 C</t>
  </si>
  <si>
    <t>Scaling Factor to -15 C</t>
  </si>
  <si>
    <t>Without Annealing</t>
  </si>
  <si>
    <r>
      <t>Power (mW/mm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@ 0 C)</t>
    </r>
  </si>
  <si>
    <r>
      <t>mW/mm</t>
    </r>
    <r>
      <rPr>
        <vertAlign val="superscript"/>
        <sz val="11"/>
        <color indexed="8"/>
        <rFont val="Calibri"/>
        <family val="2"/>
      </rPr>
      <t>2</t>
    </r>
  </si>
  <si>
    <r>
      <t>Power (mW/cm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@-25 C)</t>
    </r>
  </si>
  <si>
    <r>
      <t>mW/cm</t>
    </r>
    <r>
      <rPr>
        <vertAlign val="superscript"/>
        <sz val="11"/>
        <color indexed="8"/>
        <rFont val="Calibri"/>
        <family val="2"/>
      </rPr>
      <t>2</t>
    </r>
  </si>
  <si>
    <r>
      <t>Power (mW/cm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@ operating temperature)</t>
    </r>
  </si>
  <si>
    <t>Power (W/sensor @ operating temperature)</t>
  </si>
  <si>
    <t>mW/Sensor</t>
  </si>
  <si>
    <t>Strip Area</t>
  </si>
  <si>
    <r>
      <t>cm</t>
    </r>
    <r>
      <rPr>
        <b/>
        <vertAlign val="superscript"/>
        <sz val="11"/>
        <color indexed="8"/>
        <rFont val="Calibri"/>
        <family val="2"/>
      </rPr>
      <t>2</t>
    </r>
  </si>
  <si>
    <t>Current per strip @ -15 C</t>
  </si>
  <si>
    <t>nA</t>
  </si>
  <si>
    <t>Current per strip @ operating temperature</t>
  </si>
  <si>
    <t>With Annealing</t>
  </si>
  <si>
    <t>Annealing (Days @20 C)</t>
  </si>
  <si>
    <r>
      <t>I/I</t>
    </r>
    <r>
      <rPr>
        <vertAlign val="subscript"/>
        <sz val="11"/>
        <color indexed="8"/>
        <rFont val="Calibri"/>
        <family val="2"/>
      </rPr>
      <t>0</t>
    </r>
  </si>
  <si>
    <r>
      <t>C</t>
    </r>
    <r>
      <rPr>
        <sz val="11"/>
        <color indexed="8"/>
        <rFont val="Calibri"/>
        <family val="2"/>
      </rPr>
      <t>°</t>
    </r>
  </si>
  <si>
    <t>W/Sensor</t>
  </si>
  <si>
    <t>Signal</t>
  </si>
  <si>
    <r>
      <t>Q/Q</t>
    </r>
    <r>
      <rPr>
        <vertAlign val="subscript"/>
        <sz val="11"/>
        <color indexed="8"/>
        <rFont val="Calibri"/>
        <family val="2"/>
      </rPr>
      <t>0</t>
    </r>
  </si>
  <si>
    <t>Annealing (Days @ 20 C)</t>
  </si>
  <si>
    <t>Measured Values</t>
  </si>
  <si>
    <t>Extrapolation</t>
  </si>
  <si>
    <t>Current Annealing Factor</t>
  </si>
  <si>
    <t>Charge Annealing Factor</t>
  </si>
  <si>
    <t>Expected Charge</t>
  </si>
  <si>
    <r>
      <t>ke</t>
    </r>
    <r>
      <rPr>
        <vertAlign val="superscript"/>
        <sz val="11"/>
        <color indexed="8"/>
        <rFont val="Calibri"/>
        <family val="2"/>
      </rPr>
      <t>-</t>
    </r>
  </si>
  <si>
    <t>CurrentAnnealing Factor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</si>
</sst>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œ&quot;#,##0;\-&quot;œ&quot;#,##0"/>
    <numFmt numFmtId="165" formatCode="&quot;œ&quot;#,##0;[Red]\-&quot;œ&quot;#,##0"/>
    <numFmt numFmtId="166" formatCode="&quot;œ&quot;#,##0.00;\-&quot;œ&quot;#,##0.00"/>
    <numFmt numFmtId="167" formatCode="&quot;œ&quot;#,##0.00;[Red]\-&quot;œ&quot;#,##0.00"/>
    <numFmt numFmtId="168" formatCode="_-&quot;œ&quot;* #,##0_-;\-&quot;œ&quot;* #,##0_-;_-&quot;œ&quot;* &quot;-&quot;_-;_-@_-"/>
    <numFmt numFmtId="169" formatCode="_-&quot;œ&quot;* #,##0.00_-;\-&quot;œ&quot;* #,##0.00_-;_-&quot;œ&quot;* &quot;-&quot;??_-;_-@_-"/>
    <numFmt numFmtId="170" formatCode="0.0%"/>
    <numFmt numFmtId="171" formatCode="0.0"/>
    <numFmt numFmtId="172" formatCode="0.000"/>
    <numFmt numFmtId="173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8"/>
      <name val="Symbol"/>
      <family val="1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vertAlign val="subscript"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8"/>
      <color indexed="8"/>
      <name val="Calibri"/>
      <family val="2"/>
    </font>
    <font>
      <sz val="11"/>
      <color indexed="13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vertAlign val="superscript"/>
      <sz val="12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8"/>
      <color theme="1"/>
      <name val="Calibri"/>
      <family val="2"/>
    </font>
    <font>
      <sz val="11"/>
      <color rgb="FF92D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54" fillId="0" borderId="0" xfId="57" applyFont="1">
      <alignment/>
      <protection/>
    </xf>
    <xf numFmtId="0" fontId="52" fillId="0" borderId="0" xfId="57" applyFont="1">
      <alignment/>
      <protection/>
    </xf>
    <xf numFmtId="11" fontId="52" fillId="33" borderId="0" xfId="57" applyNumberFormat="1" applyFont="1" applyFill="1">
      <alignment/>
      <protection/>
    </xf>
    <xf numFmtId="11" fontId="0" fillId="0" borderId="0" xfId="57" applyNumberFormat="1" applyFont="1">
      <alignment/>
      <protection/>
    </xf>
    <xf numFmtId="11" fontId="0" fillId="0" borderId="0" xfId="57" applyNumberFormat="1">
      <alignment/>
      <protection/>
    </xf>
    <xf numFmtId="9" fontId="0" fillId="0" borderId="0" xfId="57" applyNumberFormat="1">
      <alignment/>
      <protection/>
    </xf>
    <xf numFmtId="0" fontId="0" fillId="34" borderId="0" xfId="57" applyFont="1" applyFill="1">
      <alignment/>
      <protection/>
    </xf>
    <xf numFmtId="170" fontId="0" fillId="0" borderId="0" xfId="57" applyNumberFormat="1">
      <alignment/>
      <protection/>
    </xf>
    <xf numFmtId="0" fontId="52" fillId="33" borderId="0" xfId="57" applyFont="1" applyFill="1">
      <alignment/>
      <protection/>
    </xf>
    <xf numFmtId="170" fontId="55" fillId="0" borderId="0" xfId="57" applyNumberFormat="1" applyFont="1">
      <alignment/>
      <protection/>
    </xf>
    <xf numFmtId="171" fontId="7" fillId="34" borderId="0" xfId="59" applyNumberFormat="1" applyFill="1" applyAlignment="1">
      <alignment horizontal="center"/>
      <protection/>
    </xf>
    <xf numFmtId="171" fontId="0" fillId="0" borderId="0" xfId="57" applyNumberFormat="1" applyFont="1">
      <alignment/>
      <protection/>
    </xf>
    <xf numFmtId="2" fontId="0" fillId="34" borderId="0" xfId="57" applyNumberFormat="1" applyFont="1" applyFill="1">
      <alignment/>
      <protection/>
    </xf>
    <xf numFmtId="171" fontId="0" fillId="34" borderId="0" xfId="57" applyNumberFormat="1" applyFont="1" applyFill="1">
      <alignment/>
      <protection/>
    </xf>
    <xf numFmtId="170" fontId="0" fillId="0" borderId="0" xfId="57" applyNumberFormat="1" applyFont="1">
      <alignment/>
      <protection/>
    </xf>
    <xf numFmtId="1" fontId="0" fillId="34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57" applyFont="1" applyAlignment="1">
      <alignment horizontal="center"/>
      <protection/>
    </xf>
    <xf numFmtId="0" fontId="46" fillId="0" borderId="0" xfId="52" applyAlignment="1" applyProtection="1">
      <alignment/>
      <protection/>
    </xf>
    <xf numFmtId="0" fontId="7" fillId="35" borderId="0" xfId="59" applyFill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172" fontId="7" fillId="35" borderId="0" xfId="59" applyNumberFormat="1" applyFill="1" applyAlignment="1">
      <alignment horizontal="center"/>
      <protection/>
    </xf>
    <xf numFmtId="0" fontId="0" fillId="0" borderId="0" xfId="57" applyFont="1">
      <alignment/>
      <protection/>
    </xf>
    <xf numFmtId="0" fontId="0" fillId="34" borderId="0" xfId="57" applyFont="1" applyFill="1">
      <alignment/>
      <protection/>
    </xf>
    <xf numFmtId="0" fontId="0" fillId="0" borderId="0" xfId="57" applyFont="1">
      <alignment/>
      <protection/>
    </xf>
    <xf numFmtId="2" fontId="0" fillId="0" borderId="0" xfId="0" applyNumberFormat="1" applyAlignment="1">
      <alignment horizontal="center"/>
    </xf>
    <xf numFmtId="1" fontId="0" fillId="0" borderId="0" xfId="57" applyNumberFormat="1">
      <alignment/>
      <protection/>
    </xf>
    <xf numFmtId="0" fontId="53" fillId="0" borderId="0" xfId="57" applyFont="1">
      <alignment/>
      <protection/>
    </xf>
    <xf numFmtId="0" fontId="28" fillId="0" borderId="0" xfId="57" applyFont="1">
      <alignment/>
      <protection/>
    </xf>
    <xf numFmtId="0" fontId="0" fillId="34" borderId="0" xfId="57" applyFont="1" applyFill="1">
      <alignment/>
      <protection/>
    </xf>
    <xf numFmtId="171" fontId="0" fillId="0" borderId="0" xfId="57" applyNumberFormat="1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_neutron-200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0825"/>
          <c:w val="0.9732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'Currents (500 V)'!#REF!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errBars>
            <c:errDir val="y"/>
            <c:errBarType val="both"/>
            <c:errValType val="percentage"/>
            <c:val val="15"/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percentage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strRef>
              <c:f>'Currents (500 V)'!#REF!</c:f>
              <c:strCache>
                <c:ptCount val="18"/>
              </c:strCache>
            </c:strRef>
          </c:xVal>
          <c:yVal>
            <c:numRef>
              <c:f>'Currents (500 V)'!$N$26:$N$43</c:f>
              <c:numCache/>
            </c:numRef>
          </c:yVal>
          <c:smooth val="0"/>
        </c:ser>
        <c:ser>
          <c:idx val="1"/>
          <c:order val="1"/>
          <c:tx>
            <c:strRef>
              <c:f>'Currents (500 V)'!$J$2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percentage"/>
            <c:val val="15"/>
            <c:noEndCap val="0"/>
            <c:spPr>
              <a:ln w="3175">
                <a:solidFill>
                  <a:srgbClr val="339966"/>
                </a:solidFill>
              </a:ln>
            </c:spPr>
          </c:errBars>
          <c:errBars>
            <c:errDir val="x"/>
            <c:errBarType val="both"/>
            <c:errValType val="percentage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strRef>
              <c:f>'Currents (500 V)'!#REF!</c:f>
              <c:strCache>
                <c:ptCount val="15"/>
              </c:strCache>
            </c:strRef>
          </c:xVal>
          <c:yVal>
            <c:numRef>
              <c:f>'Currents (500 V)'!$O$26:$O$40</c:f>
              <c:numCache/>
            </c:numRef>
          </c:yVal>
          <c:smooth val="0"/>
        </c:ser>
        <c:axId val="50638606"/>
        <c:axId val="53094271"/>
      </c:scatterChart>
      <c:valAx>
        <c:axId val="50638606"/>
        <c:scaling>
          <c:logBase val="10"/>
          <c:orientation val="minMax"/>
          <c:max val="1E+17"/>
          <c:min val="10000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Fluence (n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eq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/cm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94271"/>
        <c:crosses val="autoZero"/>
        <c:crossBetween val="midCat"/>
        <c:dispUnits/>
      </c:valAx>
      <c:valAx>
        <c:axId val="5309427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Power per 1e15  (mW/mm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@ 0 C°)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38606"/>
        <c:crosses val="autoZero"/>
        <c:crossBetween val="midCat"/>
        <c:dispUnits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67325"/>
          <c:w val="0.18475"/>
          <c:h val="0.1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0825"/>
          <c:w val="0.9535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errBars>
            <c:errDir val="y"/>
            <c:errBarType val="both"/>
            <c:errValType val="percentage"/>
            <c:val val="15"/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percentage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yVal>
            <c:numRef>
              <c:f>'Currents (900 V)'!$N$26:$N$43</c:f>
              <c:numCache/>
            </c:numRef>
          </c:yVal>
          <c:smooth val="0"/>
        </c:ser>
        <c:ser>
          <c:idx val="1"/>
          <c:order val="1"/>
          <c:tx>
            <c:strRef>
              <c:f>'Currents (900 V)'!$J$2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percentage"/>
            <c:val val="15"/>
            <c:noEndCap val="0"/>
            <c:spPr>
              <a:ln w="3175">
                <a:solidFill>
                  <a:srgbClr val="339966"/>
                </a:solidFill>
              </a:ln>
            </c:spPr>
          </c:errBars>
          <c:errBars>
            <c:errDir val="x"/>
            <c:errBarType val="both"/>
            <c:errValType val="percentage"/>
            <c:val val="10"/>
            <c:noEndCap val="0"/>
            <c:spPr>
              <a:ln w="3175">
                <a:solidFill>
                  <a:srgbClr val="000000"/>
                </a:solidFill>
              </a:ln>
            </c:spPr>
          </c:errBars>
          <c:yVal>
            <c:numRef>
              <c:f>'Currents (900 V)'!$O$26:$O$40</c:f>
              <c:numCache/>
            </c:numRef>
          </c:yVal>
          <c:smooth val="0"/>
        </c:ser>
        <c:axId val="8086392"/>
        <c:axId val="5668665"/>
      </c:scatterChart>
      <c:valAx>
        <c:axId val="8086392"/>
        <c:scaling>
          <c:logBase val="10"/>
          <c:orientation val="minMax"/>
          <c:max val="1E+17"/>
          <c:min val="10000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Fluence (n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eq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/cm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8665"/>
        <c:crosses val="autoZero"/>
        <c:crossBetween val="midCat"/>
        <c:dispUnits/>
      </c:valAx>
      <c:valAx>
        <c:axId val="566866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Power per 1e15  (mW/mm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@ 0 C°)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86392"/>
        <c:crosses val="autoZero"/>
        <c:crossBetween val="midCat"/>
        <c:dispUnits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67325"/>
          <c:w val="0.18475"/>
          <c:h val="0.1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428625</xdr:colOff>
      <xdr:row>40</xdr:row>
      <xdr:rowOff>85725</xdr:rowOff>
    </xdr:from>
    <xdr:to>
      <xdr:col>31</xdr:col>
      <xdr:colOff>123825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21955125" y="8315325"/>
        <a:ext cx="4572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428625</xdr:colOff>
      <xdr:row>40</xdr:row>
      <xdr:rowOff>85725</xdr:rowOff>
    </xdr:from>
    <xdr:to>
      <xdr:col>31</xdr:col>
      <xdr:colOff>123825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21955125" y="8315325"/>
        <a:ext cx="4572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0.140625" style="1" customWidth="1"/>
    <col min="2" max="2" width="9.140625" style="1" customWidth="1"/>
    <col min="3" max="4" width="13.28125" style="1" customWidth="1"/>
    <col min="5" max="5" width="22.28125" style="1" customWidth="1"/>
    <col min="6" max="7" width="13.28125" style="1" customWidth="1"/>
    <col min="8" max="8" width="22.421875" style="1" customWidth="1"/>
    <col min="9" max="9" width="19.28125" style="1" customWidth="1"/>
    <col min="10" max="10" width="9.140625" style="1" customWidth="1"/>
    <col min="11" max="12" width="23.140625" style="1" customWidth="1"/>
    <col min="13" max="13" width="9.140625" style="1" customWidth="1"/>
    <col min="14" max="14" width="9.57421875" style="1" bestFit="1" customWidth="1"/>
    <col min="15" max="16384" width="9.140625" style="1" customWidth="1"/>
  </cols>
  <sheetData>
    <row r="1" spans="8:23" ht="15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  <c r="V1" s="2"/>
      <c r="W1" s="2"/>
    </row>
    <row r="2" spans="1:23" ht="23.25">
      <c r="A2" s="3" t="s">
        <v>0</v>
      </c>
      <c r="E2" s="1" t="s">
        <v>1</v>
      </c>
      <c r="F2" s="1" t="s">
        <v>2</v>
      </c>
      <c r="G2" s="27" t="s">
        <v>30</v>
      </c>
      <c r="H2" s="20" t="s">
        <v>26</v>
      </c>
      <c r="I2" s="20" t="s">
        <v>27</v>
      </c>
      <c r="J2" s="27"/>
      <c r="K2" s="27" t="s">
        <v>32</v>
      </c>
      <c r="L2" s="27" t="s">
        <v>31</v>
      </c>
      <c r="O2" s="2"/>
      <c r="T2" s="2"/>
      <c r="U2" s="2"/>
      <c r="V2" s="2"/>
      <c r="W2" s="2"/>
    </row>
    <row r="3" spans="1:23" ht="18.75">
      <c r="A3" s="4" t="s">
        <v>1</v>
      </c>
      <c r="B3" s="5">
        <v>400000000000000</v>
      </c>
      <c r="C3" s="4" t="s">
        <v>3</v>
      </c>
      <c r="E3" s="6">
        <v>100000000000000</v>
      </c>
      <c r="F3" s="1">
        <v>1.2</v>
      </c>
      <c r="G3" s="30">
        <v>22</v>
      </c>
      <c r="H3" s="1">
        <v>0</v>
      </c>
      <c r="I3" s="1">
        <v>1</v>
      </c>
      <c r="J3" s="2"/>
      <c r="K3" s="29">
        <v>0</v>
      </c>
      <c r="L3">
        <v>1</v>
      </c>
      <c r="M3" s="8"/>
      <c r="N3" s="8"/>
      <c r="O3" s="7"/>
      <c r="T3" s="2"/>
      <c r="U3" s="2"/>
      <c r="V3" s="7"/>
      <c r="W3" s="7"/>
    </row>
    <row r="4" spans="1:23" ht="17.25">
      <c r="A4" s="9" t="s">
        <v>4</v>
      </c>
      <c r="B4" s="9">
        <f>LOOKUP(B3,E3:E45,F3:F45)</f>
        <v>4.3</v>
      </c>
      <c r="C4" s="9" t="s">
        <v>5</v>
      </c>
      <c r="E4" s="6">
        <v>200000000000000</v>
      </c>
      <c r="F4" s="1">
        <v>3.3</v>
      </c>
      <c r="G4" s="1">
        <v>19.5</v>
      </c>
      <c r="H4" s="1">
        <v>1</v>
      </c>
      <c r="I4" s="1">
        <v>1</v>
      </c>
      <c r="J4" s="2"/>
      <c r="K4" s="29">
        <v>1.878472222222222</v>
      </c>
      <c r="L4" s="28">
        <v>1.034013605442177</v>
      </c>
      <c r="M4" s="8"/>
      <c r="N4" s="8"/>
      <c r="O4" s="7"/>
      <c r="P4" s="2"/>
      <c r="Q4" s="2"/>
      <c r="R4" s="10"/>
      <c r="S4" s="10"/>
      <c r="T4" s="2"/>
      <c r="U4" s="2"/>
      <c r="V4" s="7"/>
      <c r="W4" s="7"/>
    </row>
    <row r="5" spans="1:23" ht="15">
      <c r="A5" s="4" t="s">
        <v>6</v>
      </c>
      <c r="B5" s="11">
        <v>100</v>
      </c>
      <c r="C5" s="4" t="s">
        <v>7</v>
      </c>
      <c r="E5" s="6">
        <v>300000000000000</v>
      </c>
      <c r="F5" s="1">
        <v>4.2</v>
      </c>
      <c r="G5" s="30">
        <v>16.7</v>
      </c>
      <c r="H5" s="1">
        <v>2</v>
      </c>
      <c r="I5" s="1">
        <v>1</v>
      </c>
      <c r="J5" s="2"/>
      <c r="K5" s="29">
        <v>4.128472222222222</v>
      </c>
      <c r="L5" s="28">
        <v>1.0714285714285714</v>
      </c>
      <c r="M5" s="8"/>
      <c r="N5" s="8"/>
      <c r="O5" s="7"/>
      <c r="P5" s="2"/>
      <c r="Q5" s="2"/>
      <c r="R5" s="12"/>
      <c r="S5" s="10"/>
      <c r="T5" s="2"/>
      <c r="U5" s="2"/>
      <c r="V5" s="7"/>
      <c r="W5" s="7"/>
    </row>
    <row r="6" spans="1:23" ht="15">
      <c r="A6" s="32" t="s">
        <v>39</v>
      </c>
      <c r="B6" s="9">
        <f>LOOKUP(B5,H3:H92,I3:I92)</f>
        <v>0.62</v>
      </c>
      <c r="E6" s="6">
        <v>400000000000000</v>
      </c>
      <c r="F6" s="1">
        <v>4.3</v>
      </c>
      <c r="G6" s="1">
        <v>16.2</v>
      </c>
      <c r="H6" s="1">
        <v>3</v>
      </c>
      <c r="I6" s="1">
        <v>0.99</v>
      </c>
      <c r="J6" s="2"/>
      <c r="K6" s="29">
        <v>6.003472222222222</v>
      </c>
      <c r="L6" s="28">
        <v>1.0918367346938775</v>
      </c>
      <c r="M6" s="8"/>
      <c r="N6" s="8"/>
      <c r="O6" s="7"/>
      <c r="P6" s="2"/>
      <c r="Q6" s="2"/>
      <c r="R6" s="12"/>
      <c r="S6" s="10"/>
      <c r="T6" s="2"/>
      <c r="U6" s="2"/>
      <c r="V6" s="7"/>
      <c r="W6" s="7"/>
    </row>
    <row r="7" spans="1:23" ht="15">
      <c r="A7" s="32" t="s">
        <v>36</v>
      </c>
      <c r="B7" s="15">
        <f>LOOKUP(B5,K3:K21,L3:L21)</f>
        <v>1.2755102040816326</v>
      </c>
      <c r="E7" s="6">
        <v>500000000000000</v>
      </c>
      <c r="F7" s="1">
        <v>4.5</v>
      </c>
      <c r="G7" s="1">
        <v>15.6</v>
      </c>
      <c r="H7" s="1">
        <v>4</v>
      </c>
      <c r="I7" s="1">
        <v>0.98</v>
      </c>
      <c r="J7" s="2"/>
      <c r="K7" s="29">
        <v>9.753472222222223</v>
      </c>
      <c r="L7" s="28">
        <v>1.119047619047619</v>
      </c>
      <c r="M7" s="8"/>
      <c r="N7" s="8"/>
      <c r="O7" s="7"/>
      <c r="P7" s="2"/>
      <c r="Q7" s="2"/>
      <c r="R7" s="10"/>
      <c r="S7" s="10"/>
      <c r="T7" s="2"/>
      <c r="U7" s="2"/>
      <c r="V7" s="7"/>
      <c r="W7" s="7"/>
    </row>
    <row r="8" spans="1:23" ht="15">
      <c r="A8" s="4" t="s">
        <v>8</v>
      </c>
      <c r="B8" s="11">
        <v>-15</v>
      </c>
      <c r="E8" s="6">
        <v>600000000000000</v>
      </c>
      <c r="F8" s="1">
        <v>5.8</v>
      </c>
      <c r="G8" s="1">
        <v>15</v>
      </c>
      <c r="H8" s="1">
        <v>5</v>
      </c>
      <c r="I8" s="1">
        <v>0.95</v>
      </c>
      <c r="J8" s="2"/>
      <c r="K8" s="29">
        <v>15.378472222222223</v>
      </c>
      <c r="L8" s="28">
        <v>1.1768707482993197</v>
      </c>
      <c r="M8" s="8"/>
      <c r="N8" s="8"/>
      <c r="O8" s="7"/>
      <c r="P8" s="2"/>
      <c r="Q8" s="2"/>
      <c r="R8" s="10"/>
      <c r="S8" s="10"/>
      <c r="T8" s="2"/>
      <c r="U8" s="2"/>
      <c r="V8" s="7"/>
      <c r="W8" s="7"/>
    </row>
    <row r="9" spans="1:23" ht="15">
      <c r="A9" s="9" t="s">
        <v>9</v>
      </c>
      <c r="B9" s="13">
        <f>((273+B8)/(273-25))^2*EXP((-1.2/2/0.0000862)*(1/(273+B8)-1/(273-25)))</f>
        <v>3.212086253418829</v>
      </c>
      <c r="E9" s="6">
        <v>700000000000000</v>
      </c>
      <c r="F9" s="1">
        <v>6.9</v>
      </c>
      <c r="G9" s="30">
        <v>14.4</v>
      </c>
      <c r="H9" s="1">
        <v>6</v>
      </c>
      <c r="I9" s="1">
        <v>0.94</v>
      </c>
      <c r="J9" s="2"/>
      <c r="K9" s="29">
        <v>29.62847222222222</v>
      </c>
      <c r="L9" s="28">
        <v>1.3095238095238095</v>
      </c>
      <c r="M9" s="8"/>
      <c r="N9" s="8"/>
      <c r="O9" s="7"/>
      <c r="P9" s="2"/>
      <c r="Q9" s="2"/>
      <c r="R9" s="10"/>
      <c r="S9" s="10"/>
      <c r="T9" s="2"/>
      <c r="U9" s="2"/>
      <c r="V9" s="7"/>
      <c r="W9" s="7"/>
    </row>
    <row r="10" spans="1:23" ht="15">
      <c r="A10" s="9" t="s">
        <v>10</v>
      </c>
      <c r="B10" s="13">
        <f>((273-0)/(273-25))^2*EXP((-1.2/2/0.0000862)*(1/(273)-1/(273-25)))</f>
        <v>15.836261622746589</v>
      </c>
      <c r="E10" s="6">
        <v>800000000000000</v>
      </c>
      <c r="F10" s="1">
        <v>7.8</v>
      </c>
      <c r="G10" s="1">
        <v>13.6</v>
      </c>
      <c r="H10" s="1">
        <v>7</v>
      </c>
      <c r="I10" s="1">
        <v>0.92</v>
      </c>
      <c r="J10" s="2"/>
      <c r="K10" s="29">
        <v>42.75347222222222</v>
      </c>
      <c r="L10" s="28">
        <v>1.2925170068027212</v>
      </c>
      <c r="M10" s="8"/>
      <c r="N10" s="8"/>
      <c r="O10" s="7"/>
      <c r="P10" s="2"/>
      <c r="Q10" s="2"/>
      <c r="R10" s="10"/>
      <c r="S10" s="10"/>
      <c r="T10" s="2"/>
      <c r="U10" s="2"/>
      <c r="V10" s="7"/>
      <c r="W10" s="7"/>
    </row>
    <row r="11" spans="1:23" ht="15">
      <c r="A11" s="9" t="s">
        <v>11</v>
      </c>
      <c r="B11" s="13">
        <f>((273-15)/(273-25))^2*EXP((-1.2/2/0.0000862)*(1/(273-15)-1/(273-25)))</f>
        <v>3.212086253418829</v>
      </c>
      <c r="C11" s="25"/>
      <c r="E11" s="6">
        <v>900000000000000</v>
      </c>
      <c r="F11" s="1">
        <v>8.7</v>
      </c>
      <c r="G11" s="1">
        <v>12.8</v>
      </c>
      <c r="H11" s="1">
        <v>8</v>
      </c>
      <c r="I11" s="1">
        <v>0.9</v>
      </c>
      <c r="J11" s="2"/>
      <c r="K11" s="29">
        <v>54.00347222222222</v>
      </c>
      <c r="L11" s="28">
        <v>1.3333333333333333</v>
      </c>
      <c r="M11" s="8"/>
      <c r="N11" s="8"/>
      <c r="O11" s="7"/>
      <c r="P11" s="2"/>
      <c r="Q11" s="2"/>
      <c r="R11" s="10"/>
      <c r="S11" s="10"/>
      <c r="T11" s="2"/>
      <c r="U11" s="2"/>
      <c r="V11" s="7"/>
      <c r="W11" s="7"/>
    </row>
    <row r="12" spans="2:23" ht="15">
      <c r="B12" s="14"/>
      <c r="E12" s="6">
        <v>1000000000000000</v>
      </c>
      <c r="F12" s="1">
        <v>9.6</v>
      </c>
      <c r="G12" s="30">
        <v>12</v>
      </c>
      <c r="H12" s="1">
        <v>9</v>
      </c>
      <c r="I12" s="1">
        <v>0.89</v>
      </c>
      <c r="J12" s="2"/>
      <c r="K12" s="29">
        <v>70.50347222222221</v>
      </c>
      <c r="L12" s="28">
        <v>1.3095238095238095</v>
      </c>
      <c r="M12" s="8"/>
      <c r="N12" s="8"/>
      <c r="O12" s="7"/>
      <c r="P12" s="2"/>
      <c r="Q12" s="2"/>
      <c r="R12" s="10"/>
      <c r="S12" s="10"/>
      <c r="T12" s="2"/>
      <c r="U12" s="2"/>
      <c r="V12" s="7"/>
      <c r="W12" s="7"/>
    </row>
    <row r="13" spans="1:23" ht="23.25">
      <c r="A13" s="3" t="s">
        <v>12</v>
      </c>
      <c r="B13" s="14"/>
      <c r="E13" s="6">
        <v>1100000000000000</v>
      </c>
      <c r="F13" s="1">
        <v>10.1</v>
      </c>
      <c r="G13" s="31">
        <v>12</v>
      </c>
      <c r="H13" s="1">
        <v>10</v>
      </c>
      <c r="I13" s="1">
        <v>0.87</v>
      </c>
      <c r="J13" s="2"/>
      <c r="K13" s="29">
        <v>94.12847222222221</v>
      </c>
      <c r="L13" s="28">
        <v>1.2755102040816326</v>
      </c>
      <c r="M13" s="8"/>
      <c r="N13" s="8"/>
      <c r="O13" s="7"/>
      <c r="P13" s="2"/>
      <c r="Q13" s="2"/>
      <c r="R13" s="12"/>
      <c r="S13" s="12"/>
      <c r="T13" s="2"/>
      <c r="U13" s="2"/>
      <c r="V13" s="7"/>
      <c r="W13" s="7"/>
    </row>
    <row r="14" spans="1:23" ht="17.25">
      <c r="A14" s="9" t="s">
        <v>13</v>
      </c>
      <c r="B14" s="15">
        <f>B4*500/1000*B10/100</f>
        <v>0.34047962488905165</v>
      </c>
      <c r="C14" s="9" t="s">
        <v>14</v>
      </c>
      <c r="E14" s="6">
        <v>1200000000000000</v>
      </c>
      <c r="F14" s="1">
        <v>10.8</v>
      </c>
      <c r="G14" s="30">
        <v>12.1</v>
      </c>
      <c r="H14" s="1">
        <v>11</v>
      </c>
      <c r="I14" s="1">
        <v>0.87</v>
      </c>
      <c r="J14" s="2"/>
      <c r="K14" s="29">
        <v>139.12847222222223</v>
      </c>
      <c r="L14" s="28">
        <v>1.248299319727891</v>
      </c>
      <c r="M14" s="8"/>
      <c r="N14" s="8"/>
      <c r="O14" s="7"/>
      <c r="P14" s="2"/>
      <c r="Q14" s="2"/>
      <c r="R14" s="10"/>
      <c r="S14" s="10"/>
      <c r="T14" s="2"/>
      <c r="U14" s="2"/>
      <c r="V14" s="7"/>
      <c r="W14" s="7"/>
    </row>
    <row r="15" spans="1:23" ht="17.25">
      <c r="A15" s="9" t="s">
        <v>15</v>
      </c>
      <c r="B15" s="16">
        <f>B4*500/1000</f>
        <v>2.15</v>
      </c>
      <c r="C15" s="9" t="s">
        <v>16</v>
      </c>
      <c r="E15" s="6">
        <v>1300000000000000</v>
      </c>
      <c r="F15" s="1">
        <v>11.3</v>
      </c>
      <c r="G15" s="1">
        <v>11.4</v>
      </c>
      <c r="H15" s="1">
        <v>12</v>
      </c>
      <c r="I15" s="1">
        <v>0.86</v>
      </c>
      <c r="J15" s="2"/>
      <c r="K15" s="29">
        <v>188.95486111111111</v>
      </c>
      <c r="L15" s="28">
        <v>1.2448979591836735</v>
      </c>
      <c r="M15" s="8"/>
      <c r="N15" s="8"/>
      <c r="O15" s="7"/>
      <c r="P15" s="2"/>
      <c r="Q15" s="2"/>
      <c r="R15" s="10"/>
      <c r="S15" s="10"/>
      <c r="T15" s="2"/>
      <c r="U15" s="2"/>
      <c r="V15" s="7"/>
      <c r="W15" s="7"/>
    </row>
    <row r="16" spans="1:23" ht="17.25">
      <c r="A16" s="9" t="s">
        <v>17</v>
      </c>
      <c r="B16" s="16">
        <f>B15*B9</f>
        <v>6.905985444850482</v>
      </c>
      <c r="C16" s="9" t="s">
        <v>16</v>
      </c>
      <c r="E16" s="6">
        <v>1400000000000000</v>
      </c>
      <c r="F16" s="1">
        <v>11.9</v>
      </c>
      <c r="G16" s="1">
        <v>10.7</v>
      </c>
      <c r="H16" s="1">
        <v>13</v>
      </c>
      <c r="I16" s="1">
        <v>0.86</v>
      </c>
      <c r="J16" s="2"/>
      <c r="K16" s="29">
        <v>238.78125</v>
      </c>
      <c r="L16" s="28">
        <v>1.217687074829932</v>
      </c>
      <c r="M16" s="8"/>
      <c r="N16" s="8"/>
      <c r="O16" s="7"/>
      <c r="P16" s="2"/>
      <c r="Q16" s="2"/>
      <c r="R16" s="17"/>
      <c r="S16" s="17"/>
      <c r="T16" s="2"/>
      <c r="U16" s="2"/>
      <c r="V16" s="7"/>
      <c r="W16" s="7"/>
    </row>
    <row r="17" spans="1:23" ht="15">
      <c r="A17" s="9" t="s">
        <v>18</v>
      </c>
      <c r="B17" s="15">
        <f>B16*100/1000</f>
        <v>0.6905985444850482</v>
      </c>
      <c r="C17" s="26" t="s">
        <v>29</v>
      </c>
      <c r="E17" s="6">
        <v>1500000000000000</v>
      </c>
      <c r="F17" s="1">
        <v>12.5</v>
      </c>
      <c r="G17" s="1">
        <v>10</v>
      </c>
      <c r="H17" s="1">
        <v>14</v>
      </c>
      <c r="I17" s="1">
        <v>0.85</v>
      </c>
      <c r="J17" s="2"/>
      <c r="K17" s="29">
        <v>309.96180555555554</v>
      </c>
      <c r="L17" s="28">
        <v>1.183673469387755</v>
      </c>
      <c r="M17" s="8"/>
      <c r="N17" s="8"/>
      <c r="O17" s="7"/>
      <c r="P17" s="2"/>
      <c r="Q17" s="2"/>
      <c r="R17" s="10"/>
      <c r="S17" s="10"/>
      <c r="T17" s="2"/>
      <c r="U17" s="2"/>
      <c r="V17" s="7"/>
      <c r="W17" s="7"/>
    </row>
    <row r="18" spans="1:23" ht="15">
      <c r="A18" s="19"/>
      <c r="B18" s="33"/>
      <c r="C18" s="19"/>
      <c r="E18" s="6">
        <v>1600000000000000</v>
      </c>
      <c r="F18" s="1">
        <v>13</v>
      </c>
      <c r="G18" s="30">
        <v>9.3</v>
      </c>
      <c r="H18" s="1">
        <v>15</v>
      </c>
      <c r="I18" s="1">
        <v>0.84</v>
      </c>
      <c r="J18" s="2"/>
      <c r="K18" s="29">
        <v>438.08680555555554</v>
      </c>
      <c r="L18" s="28">
        <v>1.0816326530612246</v>
      </c>
      <c r="M18" s="8"/>
      <c r="N18" s="8"/>
      <c r="O18" s="7"/>
      <c r="P18" s="2"/>
      <c r="Q18" s="2"/>
      <c r="R18" s="10"/>
      <c r="S18" s="10"/>
      <c r="T18" s="2"/>
      <c r="U18" s="2"/>
      <c r="V18" s="7"/>
      <c r="W18" s="7"/>
    </row>
    <row r="19" spans="1:23" ht="17.25">
      <c r="A19" s="32" t="s">
        <v>37</v>
      </c>
      <c r="B19" s="16">
        <f>LOOKUP(B3,E3:E45,G3:G45)</f>
        <v>16.2</v>
      </c>
      <c r="C19" s="32" t="s">
        <v>38</v>
      </c>
      <c r="E19" s="6">
        <v>1700000000000000</v>
      </c>
      <c r="F19" s="1">
        <v>15</v>
      </c>
      <c r="G19" s="1">
        <v>9.1</v>
      </c>
      <c r="H19" s="1">
        <v>16</v>
      </c>
      <c r="I19" s="1">
        <v>0.84</v>
      </c>
      <c r="J19" s="2"/>
      <c r="K19" s="29">
        <v>599.3368055555555</v>
      </c>
      <c r="L19" s="28">
        <v>1.0612244897959184</v>
      </c>
      <c r="M19" s="8"/>
      <c r="N19" s="8"/>
      <c r="O19" s="7"/>
      <c r="P19" s="2"/>
      <c r="Q19" s="2"/>
      <c r="R19" s="12"/>
      <c r="S19" s="10"/>
      <c r="T19" s="2"/>
      <c r="U19" s="2"/>
      <c r="V19" s="7"/>
      <c r="W19" s="7"/>
    </row>
    <row r="20" spans="5:23" ht="15">
      <c r="E20" s="6">
        <v>1800000000000000</v>
      </c>
      <c r="F20" s="1">
        <v>17</v>
      </c>
      <c r="G20" s="1">
        <v>8.9</v>
      </c>
      <c r="H20" s="1">
        <v>17</v>
      </c>
      <c r="I20" s="1">
        <v>0.83</v>
      </c>
      <c r="J20" s="2"/>
      <c r="K20" s="29">
        <v>841.2118055555555</v>
      </c>
      <c r="L20" s="28">
        <v>0.9931972789115646</v>
      </c>
      <c r="M20" s="8"/>
      <c r="N20" s="8"/>
      <c r="O20" s="7"/>
      <c r="P20" s="2"/>
      <c r="Q20" s="2"/>
      <c r="R20" s="10"/>
      <c r="S20" s="10"/>
      <c r="T20" s="2"/>
      <c r="U20" s="2"/>
      <c r="V20" s="7"/>
      <c r="W20" s="7"/>
    </row>
    <row r="21" spans="1:23" ht="17.25">
      <c r="A21" s="4" t="s">
        <v>20</v>
      </c>
      <c r="B21" s="11">
        <f>0.00745*2.45</f>
        <v>0.0182525</v>
      </c>
      <c r="C21" s="4" t="s">
        <v>21</v>
      </c>
      <c r="E21" s="6">
        <v>1900000000000000</v>
      </c>
      <c r="F21" s="1">
        <v>19</v>
      </c>
      <c r="G21" s="1">
        <v>8.7</v>
      </c>
      <c r="H21" s="1">
        <v>18</v>
      </c>
      <c r="I21" s="1">
        <v>0.82</v>
      </c>
      <c r="J21" s="2"/>
      <c r="K21" s="29">
        <v>1109.9618055555554</v>
      </c>
      <c r="L21" s="28">
        <v>0.9727891156462585</v>
      </c>
      <c r="M21" s="8"/>
      <c r="N21" s="8"/>
      <c r="O21" s="7"/>
      <c r="P21" s="2"/>
      <c r="Q21" s="2"/>
      <c r="R21" s="10"/>
      <c r="S21" s="10"/>
      <c r="T21" s="2"/>
      <c r="U21" s="2"/>
      <c r="V21" s="7"/>
      <c r="W21" s="7"/>
    </row>
    <row r="22" spans="1:23" ht="15">
      <c r="A22" s="9" t="s">
        <v>22</v>
      </c>
      <c r="B22" s="18">
        <f>B21*B4*B11*1000</f>
        <v>252.1029986642669</v>
      </c>
      <c r="C22" s="9" t="s">
        <v>23</v>
      </c>
      <c r="E22" s="6">
        <v>2000000000000000</v>
      </c>
      <c r="F22" s="25">
        <v>21</v>
      </c>
      <c r="G22" s="30">
        <v>8.4</v>
      </c>
      <c r="H22" s="1">
        <v>19</v>
      </c>
      <c r="I22" s="1">
        <v>0.82</v>
      </c>
      <c r="J22" s="2"/>
      <c r="K22" s="7"/>
      <c r="L22" s="7"/>
      <c r="M22" s="8"/>
      <c r="N22" s="8"/>
      <c r="O22" s="7"/>
      <c r="P22" s="2"/>
      <c r="Q22" s="2"/>
      <c r="R22" s="10"/>
      <c r="S22" s="17"/>
      <c r="T22" s="2"/>
      <c r="U22" s="2"/>
      <c r="V22" s="7"/>
      <c r="W22" s="7"/>
    </row>
    <row r="23" spans="1:25" ht="15">
      <c r="A23" s="9" t="s">
        <v>24</v>
      </c>
      <c r="B23" s="18">
        <f>B22*B9/B11</f>
        <v>252.1029986642669</v>
      </c>
      <c r="C23" s="9" t="s">
        <v>23</v>
      </c>
      <c r="E23" s="6">
        <v>3000000000000000</v>
      </c>
      <c r="F23" s="1">
        <v>32</v>
      </c>
      <c r="G23" s="30">
        <v>7.1</v>
      </c>
      <c r="H23" s="1">
        <v>20</v>
      </c>
      <c r="I23" s="1">
        <v>0.81</v>
      </c>
      <c r="K23" s="2"/>
      <c r="L23" s="7"/>
      <c r="M23" s="8"/>
      <c r="N23" s="8"/>
      <c r="O23" s="2"/>
      <c r="P23" s="2"/>
      <c r="Q23" s="2"/>
      <c r="R23" s="2"/>
      <c r="S23" s="2"/>
      <c r="T23" s="10"/>
      <c r="U23" s="10"/>
      <c r="V23" s="2"/>
      <c r="W23" s="2"/>
      <c r="X23" s="2"/>
      <c r="Y23" s="2"/>
    </row>
    <row r="24" spans="1:17" ht="15">
      <c r="A24" s="19"/>
      <c r="B24" s="19"/>
      <c r="C24" s="19"/>
      <c r="E24" s="6">
        <v>4000000000000000</v>
      </c>
      <c r="F24" s="25">
        <v>39</v>
      </c>
      <c r="G24" s="1">
        <v>6.3</v>
      </c>
      <c r="H24" s="1">
        <v>21</v>
      </c>
      <c r="I24" s="1">
        <v>0.81</v>
      </c>
      <c r="J24" s="2"/>
      <c r="K24" s="2"/>
      <c r="M24" s="2"/>
      <c r="N24" s="21"/>
      <c r="O24" s="2"/>
      <c r="P24" s="2"/>
      <c r="Q24" s="2"/>
    </row>
    <row r="25" spans="1:17" ht="23.25">
      <c r="A25" s="3" t="s">
        <v>25</v>
      </c>
      <c r="B25" s="14"/>
      <c r="E25" s="6">
        <v>5000000000000000</v>
      </c>
      <c r="F25" s="25">
        <v>46</v>
      </c>
      <c r="G25" s="30">
        <v>5.6</v>
      </c>
      <c r="H25" s="1">
        <v>22</v>
      </c>
      <c r="I25" s="1">
        <v>0.8</v>
      </c>
      <c r="J25" s="2"/>
      <c r="K25" s="7"/>
      <c r="O25" s="2"/>
      <c r="P25" s="2"/>
      <c r="Q25" s="2"/>
    </row>
    <row r="26" spans="1:17" ht="17.25">
      <c r="A26" s="9" t="s">
        <v>13</v>
      </c>
      <c r="B26" s="15">
        <f>B4*500/1000*B10/100*B6</f>
        <v>0.21109736743121202</v>
      </c>
      <c r="C26" s="9" t="s">
        <v>14</v>
      </c>
      <c r="E26" s="6">
        <v>6000000000000000</v>
      </c>
      <c r="F26" s="25">
        <v>49</v>
      </c>
      <c r="G26" s="1">
        <v>5.3</v>
      </c>
      <c r="H26" s="1">
        <v>23</v>
      </c>
      <c r="I26" s="1">
        <v>0.8</v>
      </c>
      <c r="J26" s="2"/>
      <c r="K26" s="7"/>
      <c r="L26" s="2"/>
      <c r="M26" s="2"/>
      <c r="N26" s="7"/>
      <c r="O26" s="7"/>
      <c r="P26" s="7"/>
      <c r="Q26" s="7"/>
    </row>
    <row r="27" spans="1:17" ht="17.25">
      <c r="A27" s="9" t="s">
        <v>15</v>
      </c>
      <c r="B27" s="16">
        <f>B4*500/1000*B6</f>
        <v>1.333</v>
      </c>
      <c r="C27" s="9" t="s">
        <v>16</v>
      </c>
      <c r="E27" s="6">
        <v>7000000000000000</v>
      </c>
      <c r="F27" s="25">
        <v>53</v>
      </c>
      <c r="G27" s="30">
        <v>4.9</v>
      </c>
      <c r="H27" s="1">
        <v>24</v>
      </c>
      <c r="I27" s="1">
        <v>0.8</v>
      </c>
      <c r="J27" s="2"/>
      <c r="K27" s="7"/>
      <c r="L27" s="2"/>
      <c r="M27" s="2"/>
      <c r="N27" s="7"/>
      <c r="O27" s="7"/>
      <c r="P27" s="7"/>
      <c r="Q27" s="7"/>
    </row>
    <row r="28" spans="1:17" ht="17.25">
      <c r="A28" s="9" t="s">
        <v>17</v>
      </c>
      <c r="B28" s="16">
        <f>B27*B9</f>
        <v>4.281710975807298</v>
      </c>
      <c r="C28" s="9" t="s">
        <v>16</v>
      </c>
      <c r="E28" s="6">
        <v>8000000000000000</v>
      </c>
      <c r="F28" s="25">
        <v>56</v>
      </c>
      <c r="G28" s="1">
        <v>0</v>
      </c>
      <c r="H28" s="1">
        <v>25</v>
      </c>
      <c r="I28" s="1">
        <v>0.79</v>
      </c>
      <c r="J28" s="2"/>
      <c r="K28" s="7"/>
      <c r="L28" s="2"/>
      <c r="M28" s="2"/>
      <c r="N28" s="7"/>
      <c r="O28" s="7"/>
      <c r="P28" s="7"/>
      <c r="Q28" s="7"/>
    </row>
    <row r="29" spans="1:17" ht="15">
      <c r="A29" s="9" t="s">
        <v>18</v>
      </c>
      <c r="B29" s="15">
        <f>B28*100/1000</f>
        <v>0.42817109758072985</v>
      </c>
      <c r="C29" s="9" t="s">
        <v>19</v>
      </c>
      <c r="E29" s="6">
        <v>9000000000000000</v>
      </c>
      <c r="F29" s="25">
        <v>60</v>
      </c>
      <c r="G29" s="1">
        <v>0</v>
      </c>
      <c r="H29" s="1">
        <v>26</v>
      </c>
      <c r="I29" s="1">
        <v>0.79</v>
      </c>
      <c r="J29" s="2"/>
      <c r="K29" s="7"/>
      <c r="L29" s="2"/>
      <c r="M29" s="2"/>
      <c r="N29" s="7"/>
      <c r="O29" s="7"/>
      <c r="P29" s="7"/>
      <c r="Q29" s="7"/>
    </row>
    <row r="30" spans="1:17" ht="15">
      <c r="A30" s="19"/>
      <c r="B30" s="33"/>
      <c r="C30" s="19"/>
      <c r="E30" s="6">
        <v>10000000000000000</v>
      </c>
      <c r="F30" s="25">
        <v>63</v>
      </c>
      <c r="G30" s="1">
        <v>0</v>
      </c>
      <c r="H30" s="1">
        <v>27</v>
      </c>
      <c r="I30" s="1">
        <v>0.78</v>
      </c>
      <c r="J30" s="2"/>
      <c r="K30" s="7"/>
      <c r="L30" s="2"/>
      <c r="M30" s="2"/>
      <c r="N30" s="7"/>
      <c r="O30" s="7"/>
      <c r="P30" s="7"/>
      <c r="Q30" s="7"/>
    </row>
    <row r="31" spans="1:17" ht="17.25">
      <c r="A31" s="32" t="s">
        <v>37</v>
      </c>
      <c r="B31" s="16">
        <f>B19*B7</f>
        <v>20.663265306122447</v>
      </c>
      <c r="C31" s="32" t="s">
        <v>38</v>
      </c>
      <c r="E31" s="6">
        <v>11000000000000000</v>
      </c>
      <c r="F31" s="1">
        <v>68</v>
      </c>
      <c r="G31" s="1">
        <v>0</v>
      </c>
      <c r="H31" s="1">
        <v>28</v>
      </c>
      <c r="I31" s="1">
        <v>0.78</v>
      </c>
      <c r="J31" s="2"/>
      <c r="K31" s="7"/>
      <c r="L31" s="2"/>
      <c r="M31" s="2"/>
      <c r="N31" s="7"/>
      <c r="O31" s="7"/>
      <c r="P31" s="7"/>
      <c r="Q31" s="7"/>
    </row>
    <row r="32" spans="5:17" ht="15">
      <c r="E32" s="6">
        <v>12000000000000000</v>
      </c>
      <c r="F32" s="1">
        <v>73</v>
      </c>
      <c r="G32" s="1">
        <v>0</v>
      </c>
      <c r="H32" s="1">
        <v>29</v>
      </c>
      <c r="I32" s="1">
        <v>0.77</v>
      </c>
      <c r="J32" s="2"/>
      <c r="K32" s="7"/>
      <c r="L32" s="2"/>
      <c r="M32" s="2"/>
      <c r="N32" s="7"/>
      <c r="O32" s="7"/>
      <c r="P32" s="7"/>
      <c r="Q32" s="7"/>
    </row>
    <row r="33" spans="1:17" ht="15">
      <c r="A33" s="9" t="s">
        <v>22</v>
      </c>
      <c r="B33" s="18">
        <f>B21*B4*B11*1000*B6</f>
        <v>156.30385917184546</v>
      </c>
      <c r="C33" s="9" t="s">
        <v>23</v>
      </c>
      <c r="E33" s="6">
        <v>13000000000000000</v>
      </c>
      <c r="F33" s="1">
        <v>78</v>
      </c>
      <c r="G33" s="1">
        <v>0</v>
      </c>
      <c r="H33" s="1">
        <v>30</v>
      </c>
      <c r="I33" s="1">
        <v>0.77</v>
      </c>
      <c r="J33" s="2"/>
      <c r="K33" s="7"/>
      <c r="L33" s="2"/>
      <c r="M33" s="2"/>
      <c r="N33" s="7"/>
      <c r="O33" s="7"/>
      <c r="P33" s="7"/>
      <c r="Q33" s="7"/>
    </row>
    <row r="34" spans="1:17" ht="12" customHeight="1">
      <c r="A34" s="9" t="s">
        <v>24</v>
      </c>
      <c r="B34" s="18">
        <f>B33*B9/B11</f>
        <v>156.30385917184546</v>
      </c>
      <c r="C34" s="9" t="s">
        <v>23</v>
      </c>
      <c r="E34" s="6">
        <v>14000000000000000</v>
      </c>
      <c r="F34" s="1">
        <v>83</v>
      </c>
      <c r="G34" s="1">
        <v>0</v>
      </c>
      <c r="H34" s="1">
        <v>31</v>
      </c>
      <c r="I34" s="1">
        <v>0.77</v>
      </c>
      <c r="J34" s="2"/>
      <c r="K34" s="7"/>
      <c r="L34" s="2"/>
      <c r="M34" s="2"/>
      <c r="N34" s="7"/>
      <c r="O34" s="7"/>
      <c r="P34" s="7"/>
      <c r="Q34" s="7"/>
    </row>
    <row r="35" spans="5:17" ht="15">
      <c r="E35" s="6">
        <v>15000000000000000</v>
      </c>
      <c r="F35" s="1">
        <v>88</v>
      </c>
      <c r="G35" s="1">
        <v>0</v>
      </c>
      <c r="H35" s="1">
        <v>32</v>
      </c>
      <c r="I35" s="1">
        <v>0.77</v>
      </c>
      <c r="J35" s="2"/>
      <c r="K35" s="7"/>
      <c r="L35" s="2"/>
      <c r="M35" s="2"/>
      <c r="N35" s="7"/>
      <c r="O35" s="7"/>
      <c r="P35" s="7"/>
      <c r="Q35" s="7"/>
    </row>
    <row r="36" spans="5:17" ht="15">
      <c r="E36" s="6">
        <v>16000000000000000</v>
      </c>
      <c r="F36" s="25">
        <v>99</v>
      </c>
      <c r="G36" s="1">
        <v>0</v>
      </c>
      <c r="H36" s="1">
        <v>33</v>
      </c>
      <c r="I36" s="1">
        <v>0.76</v>
      </c>
      <c r="J36" s="2"/>
      <c r="K36" s="7"/>
      <c r="L36" s="2"/>
      <c r="M36" s="2"/>
      <c r="N36" s="7"/>
      <c r="O36" s="7"/>
      <c r="P36" s="7"/>
      <c r="Q36" s="7"/>
    </row>
    <row r="37" spans="5:17" ht="15">
      <c r="E37" s="6">
        <v>17000000000000000</v>
      </c>
      <c r="F37" s="1">
        <f>F36+5</f>
        <v>104</v>
      </c>
      <c r="G37" s="1">
        <v>0</v>
      </c>
      <c r="H37" s="1">
        <v>34</v>
      </c>
      <c r="I37" s="1">
        <v>0.76</v>
      </c>
      <c r="J37" s="2"/>
      <c r="K37" s="7"/>
      <c r="L37" s="2"/>
      <c r="M37" s="2"/>
      <c r="N37" s="7"/>
      <c r="O37" s="7"/>
      <c r="P37" s="7"/>
      <c r="Q37" s="7"/>
    </row>
    <row r="38" spans="5:17" ht="15">
      <c r="E38" s="6">
        <v>18000000000000000</v>
      </c>
      <c r="F38" s="1">
        <f aca="true" t="shared" si="0" ref="F38:F45">F37+5</f>
        <v>109</v>
      </c>
      <c r="G38" s="1">
        <v>0</v>
      </c>
      <c r="H38" s="1">
        <v>35</v>
      </c>
      <c r="I38" s="1">
        <v>0.75</v>
      </c>
      <c r="J38" s="2"/>
      <c r="K38" s="7"/>
      <c r="L38" s="2"/>
      <c r="M38" s="2"/>
      <c r="N38" s="7"/>
      <c r="O38" s="7"/>
      <c r="P38" s="7"/>
      <c r="Q38" s="7"/>
    </row>
    <row r="39" spans="5:17" ht="15">
      <c r="E39" s="6">
        <v>19000000000000000</v>
      </c>
      <c r="F39" s="1">
        <f t="shared" si="0"/>
        <v>114</v>
      </c>
      <c r="G39" s="1">
        <v>0</v>
      </c>
      <c r="H39" s="1">
        <v>36</v>
      </c>
      <c r="I39" s="1">
        <v>0.75</v>
      </c>
      <c r="J39" s="2"/>
      <c r="K39" s="7"/>
      <c r="L39" s="2"/>
      <c r="M39" s="2"/>
      <c r="N39" s="7"/>
      <c r="O39" s="7"/>
      <c r="P39" s="7"/>
      <c r="Q39" s="7"/>
    </row>
    <row r="40" spans="5:17" ht="15">
      <c r="E40" s="6">
        <v>20000000000000000</v>
      </c>
      <c r="F40" s="1">
        <f t="shared" si="0"/>
        <v>119</v>
      </c>
      <c r="G40" s="1">
        <v>0</v>
      </c>
      <c r="H40" s="1">
        <v>37</v>
      </c>
      <c r="I40" s="1">
        <v>0.74</v>
      </c>
      <c r="J40" s="2"/>
      <c r="K40" s="7"/>
      <c r="L40" s="2"/>
      <c r="M40" s="2"/>
      <c r="N40" s="7"/>
      <c r="O40" s="7"/>
      <c r="P40" s="7"/>
      <c r="Q40" s="7"/>
    </row>
    <row r="41" spans="5:16" ht="15">
      <c r="E41" s="6">
        <v>21000000000000000</v>
      </c>
      <c r="F41" s="1">
        <f t="shared" si="0"/>
        <v>124</v>
      </c>
      <c r="G41" s="1">
        <v>0</v>
      </c>
      <c r="H41" s="1">
        <v>38</v>
      </c>
      <c r="I41" s="1">
        <v>0.74</v>
      </c>
      <c r="J41" s="2"/>
      <c r="K41" s="7"/>
      <c r="L41" s="2"/>
      <c r="M41" s="2"/>
      <c r="N41" s="7"/>
      <c r="O41" s="7"/>
      <c r="P41" s="7"/>
    </row>
    <row r="42" spans="5:16" ht="15">
      <c r="E42" s="6">
        <v>22000000000000000</v>
      </c>
      <c r="F42" s="1">
        <f t="shared" si="0"/>
        <v>129</v>
      </c>
      <c r="G42" s="1">
        <v>0</v>
      </c>
      <c r="H42" s="1">
        <v>39</v>
      </c>
      <c r="I42" s="1">
        <v>0.73</v>
      </c>
      <c r="K42" s="7"/>
      <c r="L42" s="2"/>
      <c r="M42" s="2"/>
      <c r="N42" s="7"/>
      <c r="O42" s="7"/>
      <c r="P42" s="7"/>
    </row>
    <row r="43" spans="5:16" ht="14.25" customHeight="1">
      <c r="E43" s="6">
        <v>23000000000000000</v>
      </c>
      <c r="F43" s="1">
        <f t="shared" si="0"/>
        <v>134</v>
      </c>
      <c r="G43" s="1">
        <v>0</v>
      </c>
      <c r="H43" s="1">
        <v>40</v>
      </c>
      <c r="I43" s="1">
        <v>0.73</v>
      </c>
      <c r="L43" s="2"/>
      <c r="M43" s="2"/>
      <c r="N43" s="7"/>
      <c r="O43" s="6"/>
      <c r="P43" s="7"/>
    </row>
    <row r="44" spans="5:11" ht="15">
      <c r="E44" s="6">
        <v>24000000000000000</v>
      </c>
      <c r="F44" s="1">
        <f t="shared" si="0"/>
        <v>139</v>
      </c>
      <c r="G44" s="1">
        <v>0</v>
      </c>
      <c r="H44" s="1">
        <v>41</v>
      </c>
      <c r="I44" s="1">
        <v>0.73</v>
      </c>
      <c r="K44" s="6"/>
    </row>
    <row r="45" spans="5:9" ht="15">
      <c r="E45" s="6">
        <v>25000000000000000</v>
      </c>
      <c r="F45" s="1">
        <f t="shared" si="0"/>
        <v>144</v>
      </c>
      <c r="G45" s="1">
        <v>0</v>
      </c>
      <c r="H45" s="1">
        <v>42</v>
      </c>
      <c r="I45" s="1">
        <v>0.73</v>
      </c>
    </row>
    <row r="46" spans="5:9" ht="15">
      <c r="E46" s="6"/>
      <c r="G46" s="30" t="s">
        <v>33</v>
      </c>
      <c r="H46" s="1">
        <v>43</v>
      </c>
      <c r="I46" s="1">
        <v>0.73</v>
      </c>
    </row>
    <row r="47" spans="5:9" ht="15">
      <c r="E47" s="6"/>
      <c r="G47" s="27" t="s">
        <v>34</v>
      </c>
      <c r="H47" s="1">
        <v>44</v>
      </c>
      <c r="I47" s="1">
        <v>0.73</v>
      </c>
    </row>
    <row r="48" spans="5:9" ht="15">
      <c r="E48" s="6"/>
      <c r="H48" s="1">
        <v>45</v>
      </c>
      <c r="I48" s="1">
        <v>0.72</v>
      </c>
    </row>
    <row r="49" spans="5:9" ht="15">
      <c r="E49" s="6"/>
      <c r="H49" s="1">
        <v>46</v>
      </c>
      <c r="I49" s="1">
        <v>0.72</v>
      </c>
    </row>
    <row r="50" spans="5:10" ht="15">
      <c r="E50" s="6"/>
      <c r="H50" s="1">
        <v>47</v>
      </c>
      <c r="I50" s="1">
        <v>0.72</v>
      </c>
      <c r="J50" s="2"/>
    </row>
    <row r="51" spans="5:10" ht="15">
      <c r="E51" s="6"/>
      <c r="H51" s="1">
        <v>48</v>
      </c>
      <c r="I51" s="1">
        <v>0.72</v>
      </c>
      <c r="J51" s="2"/>
    </row>
    <row r="52" spans="5:10" ht="15">
      <c r="E52" s="6"/>
      <c r="H52" s="1">
        <v>49</v>
      </c>
      <c r="I52" s="1">
        <v>0.72</v>
      </c>
      <c r="J52" s="2"/>
    </row>
    <row r="53" spans="5:18" ht="15">
      <c r="E53" s="6"/>
      <c r="H53" s="1">
        <v>50</v>
      </c>
      <c r="I53" s="1">
        <v>0.72</v>
      </c>
      <c r="L53" s="22"/>
      <c r="M53" s="22"/>
      <c r="N53" s="22"/>
      <c r="O53" s="22"/>
      <c r="P53" s="22"/>
      <c r="Q53" s="22"/>
      <c r="R53" s="22"/>
    </row>
    <row r="54" spans="5:18" ht="15">
      <c r="E54" s="6"/>
      <c r="H54" s="1">
        <v>51</v>
      </c>
      <c r="I54" s="1">
        <v>0.71</v>
      </c>
      <c r="L54" s="23"/>
      <c r="M54" s="23"/>
      <c r="N54" s="23"/>
      <c r="O54" s="23"/>
      <c r="P54" s="23"/>
      <c r="Q54" s="23"/>
      <c r="R54" s="23"/>
    </row>
    <row r="55" spans="8:18" ht="15">
      <c r="H55" s="1">
        <v>52</v>
      </c>
      <c r="I55" s="1">
        <v>0.71</v>
      </c>
      <c r="L55" s="24"/>
      <c r="M55" s="24"/>
      <c r="N55" s="24"/>
      <c r="O55" s="24"/>
      <c r="P55" s="24"/>
      <c r="Q55" s="24"/>
      <c r="R55" s="24"/>
    </row>
    <row r="56" spans="8:9" ht="15">
      <c r="H56" s="1">
        <v>53</v>
      </c>
      <c r="I56" s="1">
        <v>0.71</v>
      </c>
    </row>
    <row r="57" spans="8:9" ht="15">
      <c r="H57" s="1">
        <v>54</v>
      </c>
      <c r="I57" s="1">
        <v>0.71</v>
      </c>
    </row>
    <row r="58" spans="8:9" ht="15">
      <c r="H58" s="1">
        <v>55</v>
      </c>
      <c r="I58" s="1">
        <v>0.71</v>
      </c>
    </row>
    <row r="59" spans="8:9" ht="15">
      <c r="H59" s="1">
        <v>56</v>
      </c>
      <c r="I59" s="1">
        <v>0.7</v>
      </c>
    </row>
    <row r="60" spans="8:9" ht="15">
      <c r="H60" s="1">
        <v>57</v>
      </c>
      <c r="I60" s="1">
        <v>0.7</v>
      </c>
    </row>
    <row r="61" spans="8:9" ht="15">
      <c r="H61" s="1">
        <v>58</v>
      </c>
      <c r="I61" s="1">
        <v>0.7</v>
      </c>
    </row>
    <row r="62" spans="8:9" ht="15">
      <c r="H62" s="1">
        <v>59</v>
      </c>
      <c r="I62" s="1">
        <v>0.7</v>
      </c>
    </row>
    <row r="63" spans="8:9" ht="15">
      <c r="H63" s="1">
        <v>60</v>
      </c>
      <c r="I63" s="1">
        <v>0.7</v>
      </c>
    </row>
    <row r="64" spans="8:9" ht="15">
      <c r="H64" s="1">
        <v>70</v>
      </c>
      <c r="I64" s="1">
        <v>0.66</v>
      </c>
    </row>
    <row r="65" spans="8:9" ht="15">
      <c r="H65" s="1">
        <v>80</v>
      </c>
      <c r="I65" s="1">
        <v>0.65</v>
      </c>
    </row>
    <row r="66" spans="8:9" ht="15">
      <c r="H66" s="1">
        <v>90</v>
      </c>
      <c r="I66" s="1">
        <v>0.63</v>
      </c>
    </row>
    <row r="67" spans="8:12" ht="15">
      <c r="H67" s="1">
        <v>100</v>
      </c>
      <c r="I67" s="1">
        <v>0.62</v>
      </c>
      <c r="L67" s="6"/>
    </row>
    <row r="68" spans="8:9" ht="15">
      <c r="H68" s="1">
        <v>120</v>
      </c>
      <c r="I68" s="1">
        <v>0.61</v>
      </c>
    </row>
    <row r="69" spans="8:9" ht="15">
      <c r="H69" s="1">
        <v>140</v>
      </c>
      <c r="I69" s="1">
        <v>0.6</v>
      </c>
    </row>
    <row r="70" spans="8:9" ht="15">
      <c r="H70" s="1">
        <v>160</v>
      </c>
      <c r="I70" s="1">
        <v>0.59</v>
      </c>
    </row>
    <row r="71" spans="8:9" ht="15">
      <c r="H71" s="1">
        <v>180</v>
      </c>
      <c r="I71" s="1">
        <v>0.58</v>
      </c>
    </row>
    <row r="72" spans="8:9" ht="15">
      <c r="H72" s="1">
        <v>200</v>
      </c>
      <c r="I72" s="1">
        <v>0.57</v>
      </c>
    </row>
    <row r="73" spans="8:9" ht="15">
      <c r="H73" s="1">
        <v>220</v>
      </c>
      <c r="I73" s="1">
        <v>0.56</v>
      </c>
    </row>
    <row r="74" spans="8:9" ht="15">
      <c r="H74" s="1">
        <v>240</v>
      </c>
      <c r="I74" s="1">
        <v>0.55</v>
      </c>
    </row>
    <row r="75" spans="8:9" ht="15">
      <c r="H75" s="1">
        <v>260</v>
      </c>
      <c r="I75" s="1">
        <v>0.54</v>
      </c>
    </row>
    <row r="76" spans="8:9" ht="15">
      <c r="H76" s="1">
        <v>280</v>
      </c>
      <c r="I76" s="1">
        <v>0.53</v>
      </c>
    </row>
    <row r="77" spans="8:9" ht="15">
      <c r="H77" s="1">
        <v>300</v>
      </c>
      <c r="I77" s="1">
        <v>0.52</v>
      </c>
    </row>
    <row r="78" spans="8:9" ht="15">
      <c r="H78" s="1">
        <v>325</v>
      </c>
      <c r="I78" s="1">
        <v>0.51</v>
      </c>
    </row>
    <row r="79" spans="8:9" ht="15">
      <c r="H79" s="1">
        <v>350</v>
      </c>
      <c r="I79" s="1">
        <v>0.5</v>
      </c>
    </row>
    <row r="80" spans="8:9" ht="15">
      <c r="H80" s="1">
        <v>375</v>
      </c>
      <c r="I80" s="1">
        <v>0.49</v>
      </c>
    </row>
    <row r="81" spans="8:9" ht="15">
      <c r="H81" s="1">
        <v>400</v>
      </c>
      <c r="I81" s="1">
        <v>0.48</v>
      </c>
    </row>
    <row r="82" spans="8:9" ht="15">
      <c r="H82" s="1">
        <v>433</v>
      </c>
      <c r="I82" s="1">
        <v>0.47</v>
      </c>
    </row>
    <row r="83" spans="8:9" ht="15">
      <c r="H83" s="1">
        <v>466</v>
      </c>
      <c r="I83" s="1">
        <v>0.46</v>
      </c>
    </row>
    <row r="84" spans="8:9" ht="15">
      <c r="H84" s="1">
        <v>500</v>
      </c>
      <c r="I84" s="1">
        <v>0.45</v>
      </c>
    </row>
    <row r="85" spans="8:9" ht="15">
      <c r="H85" s="1">
        <v>550</v>
      </c>
      <c r="I85" s="1">
        <v>0.44</v>
      </c>
    </row>
    <row r="86" spans="8:9" ht="15">
      <c r="H86" s="1">
        <v>600</v>
      </c>
      <c r="I86" s="1">
        <v>0.43</v>
      </c>
    </row>
    <row r="87" spans="8:9" ht="15">
      <c r="H87" s="1">
        <v>650</v>
      </c>
      <c r="I87" s="1">
        <v>0.42</v>
      </c>
    </row>
    <row r="88" spans="8:9" ht="15">
      <c r="H88" s="1">
        <v>700</v>
      </c>
      <c r="I88" s="1">
        <v>0.41</v>
      </c>
    </row>
    <row r="89" spans="8:9" ht="15">
      <c r="H89" s="1">
        <v>800</v>
      </c>
      <c r="I89" s="1">
        <v>0.4</v>
      </c>
    </row>
    <row r="90" spans="8:9" ht="15">
      <c r="H90" s="1">
        <v>900</v>
      </c>
      <c r="I90" s="1">
        <v>0.39</v>
      </c>
    </row>
    <row r="91" spans="8:9" ht="15">
      <c r="H91" s="1">
        <v>950</v>
      </c>
      <c r="I91" s="1">
        <v>0.38</v>
      </c>
    </row>
    <row r="92" spans="8:9" ht="15">
      <c r="H92" s="1">
        <v>1000</v>
      </c>
      <c r="I92" s="1">
        <v>0.37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0.140625" style="1" customWidth="1"/>
    <col min="2" max="2" width="9.140625" style="1" customWidth="1"/>
    <col min="3" max="4" width="13.28125" style="1" customWidth="1"/>
    <col min="5" max="5" width="22.28125" style="1" customWidth="1"/>
    <col min="6" max="7" width="13.28125" style="1" customWidth="1"/>
    <col min="8" max="8" width="22.421875" style="1" customWidth="1"/>
    <col min="9" max="9" width="19.28125" style="1" customWidth="1"/>
    <col min="10" max="10" width="9.140625" style="1" customWidth="1"/>
    <col min="11" max="12" width="23.140625" style="1" customWidth="1"/>
    <col min="13" max="13" width="9.140625" style="1" customWidth="1"/>
    <col min="14" max="14" width="9.57421875" style="1" bestFit="1" customWidth="1"/>
    <col min="15" max="16384" width="9.140625" style="1" customWidth="1"/>
  </cols>
  <sheetData>
    <row r="1" spans="8:23" ht="15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  <c r="V1" s="2"/>
      <c r="W1" s="2"/>
    </row>
    <row r="2" spans="1:23" ht="23.25">
      <c r="A2" s="3" t="s">
        <v>0</v>
      </c>
      <c r="E2" s="1" t="s">
        <v>1</v>
      </c>
      <c r="F2" s="1" t="s">
        <v>2</v>
      </c>
      <c r="G2" s="27" t="s">
        <v>30</v>
      </c>
      <c r="H2" s="20" t="s">
        <v>26</v>
      </c>
      <c r="I2" s="20" t="s">
        <v>27</v>
      </c>
      <c r="J2" s="2"/>
      <c r="K2" s="27" t="s">
        <v>32</v>
      </c>
      <c r="L2" s="27" t="s">
        <v>31</v>
      </c>
      <c r="O2" s="2"/>
      <c r="T2" s="2"/>
      <c r="U2" s="2"/>
      <c r="V2" s="2"/>
      <c r="W2" s="2"/>
    </row>
    <row r="3" spans="1:23" ht="18.75">
      <c r="A3" s="4" t="s">
        <v>1</v>
      </c>
      <c r="B3" s="5">
        <v>10000000000000000</v>
      </c>
      <c r="C3" s="4" t="s">
        <v>3</v>
      </c>
      <c r="E3" s="6">
        <v>100000000000000</v>
      </c>
      <c r="F3" s="1">
        <v>1.3</v>
      </c>
      <c r="G3" s="30">
        <v>22</v>
      </c>
      <c r="H3" s="1">
        <v>0</v>
      </c>
      <c r="I3" s="1">
        <v>1</v>
      </c>
      <c r="J3" s="2"/>
      <c r="K3" s="29">
        <v>0</v>
      </c>
      <c r="L3">
        <v>1</v>
      </c>
      <c r="M3" s="8"/>
      <c r="N3" s="8"/>
      <c r="O3" s="7"/>
      <c r="T3" s="2"/>
      <c r="U3" s="2"/>
      <c r="V3" s="7"/>
      <c r="W3" s="7"/>
    </row>
    <row r="4" spans="1:23" ht="17.25">
      <c r="A4" s="9" t="s">
        <v>4</v>
      </c>
      <c r="B4" s="9">
        <f>LOOKUP(B3,E3:E45,F3:F45)</f>
        <v>135.3</v>
      </c>
      <c r="C4" s="9" t="s">
        <v>5</v>
      </c>
      <c r="E4" s="6">
        <v>200000000000000</v>
      </c>
      <c r="F4" s="1">
        <v>3.5</v>
      </c>
      <c r="G4" s="1">
        <v>21.5</v>
      </c>
      <c r="H4" s="1">
        <v>1</v>
      </c>
      <c r="I4" s="1">
        <v>1</v>
      </c>
      <c r="J4" s="2"/>
      <c r="K4" s="29">
        <v>1.878472222222222</v>
      </c>
      <c r="L4" s="28">
        <v>1.034013605442177</v>
      </c>
      <c r="M4" s="8"/>
      <c r="N4" s="8"/>
      <c r="O4" s="7"/>
      <c r="P4" s="2"/>
      <c r="Q4" s="2"/>
      <c r="R4" s="10"/>
      <c r="S4" s="10"/>
      <c r="T4" s="2"/>
      <c r="U4" s="2"/>
      <c r="V4" s="7"/>
      <c r="W4" s="7"/>
    </row>
    <row r="5" spans="1:23" ht="15">
      <c r="A5" s="4" t="s">
        <v>6</v>
      </c>
      <c r="B5" s="11">
        <v>100</v>
      </c>
      <c r="C5" s="4" t="s">
        <v>7</v>
      </c>
      <c r="E5" s="6">
        <v>300000000000000</v>
      </c>
      <c r="F5" s="1">
        <v>5.1</v>
      </c>
      <c r="G5" s="30">
        <v>20.9</v>
      </c>
      <c r="H5" s="1">
        <v>2</v>
      </c>
      <c r="I5" s="1">
        <v>1</v>
      </c>
      <c r="J5" s="2"/>
      <c r="K5" s="29">
        <v>4.128472222222222</v>
      </c>
      <c r="L5" s="28">
        <v>1.0714285714285714</v>
      </c>
      <c r="M5" s="8"/>
      <c r="N5" s="8"/>
      <c r="O5" s="7"/>
      <c r="P5" s="2"/>
      <c r="Q5" s="2"/>
      <c r="R5" s="12"/>
      <c r="S5" s="10"/>
      <c r="T5" s="2"/>
      <c r="U5" s="2"/>
      <c r="V5" s="7"/>
      <c r="W5" s="7"/>
    </row>
    <row r="6" spans="1:23" ht="15">
      <c r="A6" s="32" t="s">
        <v>35</v>
      </c>
      <c r="B6" s="9">
        <f>LOOKUP(B5,H3:H92,I3:I92)</f>
        <v>0.62</v>
      </c>
      <c r="E6" s="6">
        <v>400000000000000</v>
      </c>
      <c r="F6" s="1">
        <v>5.7</v>
      </c>
      <c r="G6" s="1">
        <v>20.5</v>
      </c>
      <c r="H6" s="1">
        <v>3</v>
      </c>
      <c r="I6" s="1">
        <v>0.99</v>
      </c>
      <c r="J6" s="2"/>
      <c r="K6" s="29">
        <v>6.003472222222222</v>
      </c>
      <c r="L6" s="28">
        <v>1.0918367346938775</v>
      </c>
      <c r="M6" s="8"/>
      <c r="N6" s="8"/>
      <c r="O6" s="7"/>
      <c r="P6" s="2"/>
      <c r="Q6" s="2"/>
      <c r="R6" s="12"/>
      <c r="S6" s="10"/>
      <c r="T6" s="2"/>
      <c r="U6" s="2"/>
      <c r="V6" s="7"/>
      <c r="W6" s="7"/>
    </row>
    <row r="7" spans="1:23" ht="15">
      <c r="A7" s="32" t="s">
        <v>36</v>
      </c>
      <c r="B7" s="15">
        <f>LOOKUP(B5,K3:K21,L3:L21)</f>
        <v>1.2755102040816326</v>
      </c>
      <c r="C7" s="25"/>
      <c r="E7" s="6">
        <v>500000000000000</v>
      </c>
      <c r="F7" s="1">
        <v>6.4</v>
      </c>
      <c r="G7" s="30">
        <v>20.2</v>
      </c>
      <c r="H7" s="1">
        <v>4</v>
      </c>
      <c r="I7" s="1">
        <v>0.98</v>
      </c>
      <c r="J7" s="2"/>
      <c r="K7" s="29">
        <v>9.753472222222223</v>
      </c>
      <c r="L7" s="28">
        <v>1.119047619047619</v>
      </c>
      <c r="M7" s="8"/>
      <c r="N7" s="8"/>
      <c r="O7" s="7"/>
      <c r="P7" s="2"/>
      <c r="Q7" s="2"/>
      <c r="R7" s="10"/>
      <c r="S7" s="10"/>
      <c r="T7" s="2"/>
      <c r="U7" s="2"/>
      <c r="V7" s="7"/>
      <c r="W7" s="7"/>
    </row>
    <row r="8" spans="1:23" ht="15">
      <c r="A8" s="4" t="s">
        <v>8</v>
      </c>
      <c r="B8" s="11">
        <v>-15</v>
      </c>
      <c r="C8" s="25" t="s">
        <v>28</v>
      </c>
      <c r="E8" s="6">
        <v>600000000000000</v>
      </c>
      <c r="F8" s="1">
        <v>8</v>
      </c>
      <c r="G8" s="1">
        <v>20.1</v>
      </c>
      <c r="H8" s="1">
        <v>5</v>
      </c>
      <c r="I8" s="1">
        <v>0.95</v>
      </c>
      <c r="J8" s="2"/>
      <c r="K8" s="29">
        <v>15.378472222222223</v>
      </c>
      <c r="L8" s="28">
        <v>1.1768707482993197</v>
      </c>
      <c r="M8" s="8"/>
      <c r="N8" s="8"/>
      <c r="O8" s="7"/>
      <c r="P8" s="2"/>
      <c r="Q8" s="2"/>
      <c r="R8" s="10"/>
      <c r="S8" s="10"/>
      <c r="T8" s="2"/>
      <c r="U8" s="2"/>
      <c r="V8" s="7"/>
      <c r="W8" s="7"/>
    </row>
    <row r="9" spans="1:23" ht="15">
      <c r="A9" s="9" t="s">
        <v>9</v>
      </c>
      <c r="B9" s="13">
        <f>((273+B8)/(273-25))^2*EXP((-1.2/2/0.0000862)*(1/(273+B8)-1/(273-25)))</f>
        <v>3.212086253418829</v>
      </c>
      <c r="E9" s="6">
        <v>700000000000000</v>
      </c>
      <c r="F9" s="1">
        <v>9.6</v>
      </c>
      <c r="G9" s="30">
        <v>20</v>
      </c>
      <c r="H9" s="1">
        <v>6</v>
      </c>
      <c r="I9" s="1">
        <v>0.94</v>
      </c>
      <c r="J9" s="2"/>
      <c r="K9" s="29">
        <v>29.62847222222222</v>
      </c>
      <c r="L9" s="28">
        <v>1.3095238095238095</v>
      </c>
      <c r="M9" s="8"/>
      <c r="N9" s="8"/>
      <c r="O9" s="7"/>
      <c r="P9" s="2"/>
      <c r="Q9" s="2"/>
      <c r="R9" s="10"/>
      <c r="S9" s="10"/>
      <c r="T9" s="2"/>
      <c r="U9" s="2"/>
      <c r="V9" s="7"/>
      <c r="W9" s="7"/>
    </row>
    <row r="10" spans="1:23" ht="15">
      <c r="A10" s="9" t="s">
        <v>10</v>
      </c>
      <c r="B10" s="13">
        <f>((273-0)/(273-25))^2*EXP((-1.2/2/0.0000862)*(1/(273)-1/(273-25)))</f>
        <v>15.836261622746589</v>
      </c>
      <c r="E10" s="6">
        <v>800000000000000</v>
      </c>
      <c r="F10" s="1">
        <v>11.2</v>
      </c>
      <c r="G10" s="1">
        <v>19.3</v>
      </c>
      <c r="H10" s="1">
        <v>7</v>
      </c>
      <c r="I10" s="1">
        <v>0.92</v>
      </c>
      <c r="J10" s="2"/>
      <c r="K10" s="29">
        <v>42.75347222222222</v>
      </c>
      <c r="L10" s="28">
        <v>1.2925170068027212</v>
      </c>
      <c r="M10" s="8"/>
      <c r="N10" s="8"/>
      <c r="O10" s="7"/>
      <c r="P10" s="2"/>
      <c r="Q10" s="2"/>
      <c r="R10" s="10"/>
      <c r="S10" s="10"/>
      <c r="T10" s="2"/>
      <c r="U10" s="2"/>
      <c r="V10" s="7"/>
      <c r="W10" s="7"/>
    </row>
    <row r="11" spans="1:23" ht="15">
      <c r="A11" s="9" t="s">
        <v>11</v>
      </c>
      <c r="B11" s="13">
        <f>((273-15)/(273-25))^2*EXP((-1.2/2/0.0000862)*(1/(273-15)-1/(273-25)))</f>
        <v>3.212086253418829</v>
      </c>
      <c r="E11" s="6">
        <v>900000000000000</v>
      </c>
      <c r="F11" s="1">
        <v>12.8</v>
      </c>
      <c r="G11" s="1">
        <v>18.6</v>
      </c>
      <c r="H11" s="1">
        <v>8</v>
      </c>
      <c r="I11" s="1">
        <v>0.9</v>
      </c>
      <c r="J11" s="2"/>
      <c r="K11" s="29">
        <v>54.00347222222222</v>
      </c>
      <c r="L11" s="28">
        <v>1.3333333333333333</v>
      </c>
      <c r="M11" s="8"/>
      <c r="N11" s="8"/>
      <c r="O11" s="7"/>
      <c r="P11" s="2"/>
      <c r="Q11" s="2"/>
      <c r="R11" s="10"/>
      <c r="S11" s="10"/>
      <c r="T11" s="2"/>
      <c r="U11" s="2"/>
      <c r="V11" s="7"/>
      <c r="W11" s="7"/>
    </row>
    <row r="12" spans="2:23" ht="15">
      <c r="B12" s="14"/>
      <c r="E12" s="6">
        <v>1000000000000000</v>
      </c>
      <c r="F12" s="1">
        <v>14.5</v>
      </c>
      <c r="G12" s="30">
        <v>18</v>
      </c>
      <c r="H12" s="1">
        <v>9</v>
      </c>
      <c r="I12" s="1">
        <v>0.89</v>
      </c>
      <c r="J12" s="2"/>
      <c r="K12" s="29">
        <v>70.50347222222221</v>
      </c>
      <c r="L12" s="28">
        <v>1.3095238095238095</v>
      </c>
      <c r="M12" s="8"/>
      <c r="N12" s="8"/>
      <c r="O12" s="7"/>
      <c r="P12" s="2"/>
      <c r="Q12" s="2"/>
      <c r="R12" s="10"/>
      <c r="S12" s="10"/>
      <c r="T12" s="2"/>
      <c r="U12" s="2"/>
      <c r="V12" s="7"/>
      <c r="W12" s="7"/>
    </row>
    <row r="13" spans="1:23" ht="23.25">
      <c r="A13" s="3" t="s">
        <v>12</v>
      </c>
      <c r="B13" s="14"/>
      <c r="E13" s="6">
        <v>1100000000000000</v>
      </c>
      <c r="F13" s="1">
        <v>14.8</v>
      </c>
      <c r="G13" s="1">
        <v>17.9</v>
      </c>
      <c r="H13" s="1">
        <v>10</v>
      </c>
      <c r="I13" s="1">
        <v>0.87</v>
      </c>
      <c r="J13" s="2"/>
      <c r="K13" s="29">
        <v>94.12847222222221</v>
      </c>
      <c r="L13" s="28">
        <v>1.2755102040816326</v>
      </c>
      <c r="M13" s="8"/>
      <c r="N13" s="8"/>
      <c r="O13" s="7"/>
      <c r="P13" s="2"/>
      <c r="Q13" s="2"/>
      <c r="R13" s="12"/>
      <c r="S13" s="12"/>
      <c r="T13" s="2"/>
      <c r="U13" s="2"/>
      <c r="V13" s="7"/>
      <c r="W13" s="7"/>
    </row>
    <row r="14" spans="1:23" ht="17.25">
      <c r="A14" s="9" t="s">
        <v>13</v>
      </c>
      <c r="B14" s="15">
        <f>B4*900/1000*B10/100</f>
        <v>19.28381577801852</v>
      </c>
      <c r="C14" s="9" t="s">
        <v>14</v>
      </c>
      <c r="E14" s="6">
        <v>1200000000000000</v>
      </c>
      <c r="F14" s="1">
        <v>15.1</v>
      </c>
      <c r="G14" s="30">
        <v>17.8</v>
      </c>
      <c r="H14" s="1">
        <v>11</v>
      </c>
      <c r="I14" s="1">
        <v>0.87</v>
      </c>
      <c r="J14" s="2"/>
      <c r="K14" s="29">
        <v>139.12847222222223</v>
      </c>
      <c r="L14" s="28">
        <v>1.248299319727891</v>
      </c>
      <c r="M14" s="8"/>
      <c r="N14" s="8"/>
      <c r="O14" s="7"/>
      <c r="P14" s="2"/>
      <c r="Q14" s="2"/>
      <c r="R14" s="10"/>
      <c r="S14" s="10"/>
      <c r="T14" s="2"/>
      <c r="U14" s="2"/>
      <c r="V14" s="7"/>
      <c r="W14" s="7"/>
    </row>
    <row r="15" spans="1:23" ht="17.25">
      <c r="A15" s="9" t="s">
        <v>15</v>
      </c>
      <c r="B15" s="16">
        <f>B4*900/1000</f>
        <v>121.77000000000001</v>
      </c>
      <c r="C15" s="9" t="s">
        <v>16</v>
      </c>
      <c r="E15" s="6">
        <v>1300000000000000</v>
      </c>
      <c r="F15" s="1">
        <v>17.1</v>
      </c>
      <c r="G15" s="1">
        <v>17.2</v>
      </c>
      <c r="H15" s="1">
        <v>12</v>
      </c>
      <c r="I15" s="1">
        <v>0.86</v>
      </c>
      <c r="J15" s="2"/>
      <c r="K15" s="29">
        <v>188.95486111111111</v>
      </c>
      <c r="L15" s="28">
        <v>1.2448979591836735</v>
      </c>
      <c r="M15" s="8"/>
      <c r="N15" s="8"/>
      <c r="O15" s="7"/>
      <c r="P15" s="2"/>
      <c r="Q15" s="2"/>
      <c r="R15" s="10"/>
      <c r="S15" s="10"/>
      <c r="T15" s="2"/>
      <c r="U15" s="2"/>
      <c r="V15" s="7"/>
      <c r="W15" s="7"/>
    </row>
    <row r="16" spans="1:23" ht="17.25">
      <c r="A16" s="9" t="s">
        <v>17</v>
      </c>
      <c r="B16" s="16">
        <f>B15*B9</f>
        <v>391.13574307881083</v>
      </c>
      <c r="C16" s="9" t="s">
        <v>16</v>
      </c>
      <c r="E16" s="6">
        <v>1400000000000000</v>
      </c>
      <c r="F16" s="1">
        <v>19.1</v>
      </c>
      <c r="G16" s="1">
        <v>16.6</v>
      </c>
      <c r="H16" s="1">
        <v>13</v>
      </c>
      <c r="I16" s="1">
        <v>0.86</v>
      </c>
      <c r="J16" s="2"/>
      <c r="K16" s="29">
        <v>238.78125</v>
      </c>
      <c r="L16" s="28">
        <v>1.217687074829932</v>
      </c>
      <c r="M16" s="8"/>
      <c r="N16" s="8"/>
      <c r="O16" s="7"/>
      <c r="P16" s="2"/>
      <c r="Q16" s="2"/>
      <c r="R16" s="17"/>
      <c r="S16" s="17"/>
      <c r="T16" s="2"/>
      <c r="U16" s="2"/>
      <c r="V16" s="7"/>
      <c r="W16" s="7"/>
    </row>
    <row r="17" spans="1:23" ht="15">
      <c r="A17" s="19"/>
      <c r="B17" s="33"/>
      <c r="C17" s="19"/>
      <c r="E17" s="6">
        <v>1500000000000000</v>
      </c>
      <c r="F17" s="1">
        <v>21.1</v>
      </c>
      <c r="G17" s="1">
        <v>16</v>
      </c>
      <c r="H17" s="1">
        <v>14</v>
      </c>
      <c r="I17" s="1">
        <v>0.85</v>
      </c>
      <c r="J17" s="2"/>
      <c r="K17" s="29">
        <v>309.96180555555554</v>
      </c>
      <c r="L17" s="28">
        <v>1.183673469387755</v>
      </c>
      <c r="M17" s="8"/>
      <c r="N17" s="8"/>
      <c r="O17" s="7"/>
      <c r="P17" s="2"/>
      <c r="Q17" s="2"/>
      <c r="R17" s="10"/>
      <c r="S17" s="10"/>
      <c r="T17" s="2"/>
      <c r="U17" s="2"/>
      <c r="V17" s="7"/>
      <c r="W17" s="7"/>
    </row>
    <row r="18" spans="1:23" ht="17.25">
      <c r="A18" s="32" t="s">
        <v>37</v>
      </c>
      <c r="B18" s="16">
        <f>LOOKUP(B3,E3:E45,G3:G45)</f>
        <v>6.9</v>
      </c>
      <c r="C18" s="32" t="s">
        <v>38</v>
      </c>
      <c r="E18" s="6">
        <v>1600000000000000</v>
      </c>
      <c r="F18" s="1">
        <v>23.1</v>
      </c>
      <c r="G18" s="30">
        <v>15.4</v>
      </c>
      <c r="H18" s="1">
        <v>15</v>
      </c>
      <c r="I18" s="1">
        <v>0.84</v>
      </c>
      <c r="J18" s="2"/>
      <c r="K18" s="29">
        <v>438.08680555555554</v>
      </c>
      <c r="L18" s="28">
        <v>1.0816326530612246</v>
      </c>
      <c r="M18" s="8"/>
      <c r="N18" s="8"/>
      <c r="O18" s="7"/>
      <c r="P18" s="2"/>
      <c r="Q18" s="2"/>
      <c r="R18" s="10"/>
      <c r="S18" s="10"/>
      <c r="T18" s="2"/>
      <c r="U18" s="2"/>
      <c r="V18" s="7"/>
      <c r="W18" s="7"/>
    </row>
    <row r="19" spans="5:23" ht="15">
      <c r="E19" s="6">
        <v>1700000000000000</v>
      </c>
      <c r="F19" s="1">
        <v>27</v>
      </c>
      <c r="G19" s="1">
        <v>14.7</v>
      </c>
      <c r="H19" s="1">
        <v>16</v>
      </c>
      <c r="I19" s="1">
        <v>0.84</v>
      </c>
      <c r="J19" s="2"/>
      <c r="K19" s="29">
        <v>599.3368055555555</v>
      </c>
      <c r="L19" s="28">
        <v>1.0612244897959184</v>
      </c>
      <c r="M19" s="8"/>
      <c r="N19" s="8"/>
      <c r="O19" s="7"/>
      <c r="P19" s="2"/>
      <c r="Q19" s="2"/>
      <c r="R19" s="12"/>
      <c r="S19" s="10"/>
      <c r="T19" s="2"/>
      <c r="U19" s="2"/>
      <c r="V19" s="7"/>
      <c r="W19" s="7"/>
    </row>
    <row r="20" spans="1:23" ht="17.25">
      <c r="A20" s="4" t="s">
        <v>20</v>
      </c>
      <c r="B20" s="11">
        <f>0.00745*2.45</f>
        <v>0.0182525</v>
      </c>
      <c r="C20" s="4" t="s">
        <v>21</v>
      </c>
      <c r="E20" s="6">
        <v>1800000000000000</v>
      </c>
      <c r="F20" s="1">
        <v>31</v>
      </c>
      <c r="G20" s="1">
        <v>14</v>
      </c>
      <c r="H20" s="1">
        <v>17</v>
      </c>
      <c r="I20" s="1">
        <v>0.83</v>
      </c>
      <c r="J20" s="2"/>
      <c r="K20" s="29">
        <v>841.2118055555555</v>
      </c>
      <c r="L20" s="28">
        <v>0.9931972789115646</v>
      </c>
      <c r="M20" s="8"/>
      <c r="N20" s="8"/>
      <c r="O20" s="7"/>
      <c r="P20" s="2"/>
      <c r="Q20" s="2"/>
      <c r="R20" s="10"/>
      <c r="S20" s="10"/>
      <c r="T20" s="2"/>
      <c r="U20" s="2"/>
      <c r="V20" s="7"/>
      <c r="W20" s="7"/>
    </row>
    <row r="21" spans="1:23" ht="15">
      <c r="A21" s="9" t="s">
        <v>22</v>
      </c>
      <c r="B21" s="18">
        <f>B20*B4*B11*1000</f>
        <v>7932.450167273327</v>
      </c>
      <c r="C21" s="9" t="s">
        <v>23</v>
      </c>
      <c r="E21" s="6">
        <v>1900000000000000</v>
      </c>
      <c r="F21" s="1">
        <v>35</v>
      </c>
      <c r="G21" s="1">
        <v>13.3</v>
      </c>
      <c r="H21" s="1">
        <v>18</v>
      </c>
      <c r="I21" s="1">
        <v>0.82</v>
      </c>
      <c r="J21" s="2"/>
      <c r="K21" s="29">
        <v>1109.9618055555554</v>
      </c>
      <c r="L21" s="28">
        <v>0.9727891156462585</v>
      </c>
      <c r="M21" s="8"/>
      <c r="N21" s="8"/>
      <c r="O21" s="7"/>
      <c r="P21" s="2"/>
      <c r="Q21" s="2"/>
      <c r="R21" s="10"/>
      <c r="S21" s="10"/>
      <c r="T21" s="2"/>
      <c r="U21" s="2"/>
      <c r="V21" s="7"/>
      <c r="W21" s="7"/>
    </row>
    <row r="22" spans="1:23" ht="15">
      <c r="A22" s="9" t="s">
        <v>24</v>
      </c>
      <c r="B22" s="18">
        <f>B21*B9/B11</f>
        <v>7932.450167273327</v>
      </c>
      <c r="C22" s="9" t="s">
        <v>23</v>
      </c>
      <c r="E22" s="6">
        <v>2000000000000000</v>
      </c>
      <c r="F22" s="1">
        <v>38.2</v>
      </c>
      <c r="G22" s="30">
        <v>12.7</v>
      </c>
      <c r="H22" s="1">
        <v>19</v>
      </c>
      <c r="I22" s="1">
        <v>0.82</v>
      </c>
      <c r="J22" s="2"/>
      <c r="K22" s="7"/>
      <c r="L22" s="7"/>
      <c r="M22" s="8"/>
      <c r="N22" s="8"/>
      <c r="O22" s="7"/>
      <c r="P22" s="2"/>
      <c r="Q22" s="2"/>
      <c r="R22" s="10"/>
      <c r="S22" s="17"/>
      <c r="T22" s="2"/>
      <c r="U22" s="2"/>
      <c r="V22" s="7"/>
      <c r="W22" s="7"/>
    </row>
    <row r="23" spans="1:25" ht="15">
      <c r="A23" s="19"/>
      <c r="B23" s="19"/>
      <c r="C23" s="19"/>
      <c r="E23" s="6">
        <v>3000000000000000</v>
      </c>
      <c r="F23" s="1">
        <v>57.7</v>
      </c>
      <c r="G23" s="30">
        <v>10.6</v>
      </c>
      <c r="H23" s="1">
        <v>20</v>
      </c>
      <c r="I23" s="1">
        <v>0.81</v>
      </c>
      <c r="K23" s="2"/>
      <c r="L23" s="7"/>
      <c r="M23" s="8"/>
      <c r="N23" s="8"/>
      <c r="O23" s="2"/>
      <c r="P23" s="2"/>
      <c r="Q23" s="2"/>
      <c r="R23" s="2"/>
      <c r="S23" s="2"/>
      <c r="T23" s="10"/>
      <c r="U23" s="10"/>
      <c r="V23" s="2"/>
      <c r="W23" s="2"/>
      <c r="X23" s="2"/>
      <c r="Y23" s="2"/>
    </row>
    <row r="24" spans="1:17" ht="23.25">
      <c r="A24" s="3" t="s">
        <v>25</v>
      </c>
      <c r="B24" s="14"/>
      <c r="E24" s="6">
        <v>4000000000000000</v>
      </c>
      <c r="F24" s="1">
        <v>73</v>
      </c>
      <c r="G24" s="1">
        <v>9.6</v>
      </c>
      <c r="H24" s="1">
        <v>21</v>
      </c>
      <c r="I24" s="1">
        <v>0.81</v>
      </c>
      <c r="J24" s="2"/>
      <c r="K24" s="2"/>
      <c r="M24" s="2"/>
      <c r="N24" s="21"/>
      <c r="O24" s="2"/>
      <c r="P24" s="2"/>
      <c r="Q24" s="2"/>
    </row>
    <row r="25" spans="1:17" ht="17.25">
      <c r="A25" s="9" t="s">
        <v>13</v>
      </c>
      <c r="B25" s="15">
        <f>B4*900/1000*B10/100*B6</f>
        <v>11.955965782371484</v>
      </c>
      <c r="C25" s="9" t="s">
        <v>14</v>
      </c>
      <c r="E25" s="6">
        <v>5000000000000000</v>
      </c>
      <c r="F25" s="1">
        <v>89</v>
      </c>
      <c r="G25" s="30">
        <v>8.6</v>
      </c>
      <c r="H25" s="1">
        <v>22</v>
      </c>
      <c r="I25" s="1">
        <v>0.8</v>
      </c>
      <c r="J25" s="2"/>
      <c r="K25" s="7"/>
      <c r="O25" s="2"/>
      <c r="P25" s="2"/>
      <c r="Q25" s="2"/>
    </row>
    <row r="26" spans="1:17" ht="17.25">
      <c r="A26" s="9" t="s">
        <v>15</v>
      </c>
      <c r="B26" s="16">
        <f>B4*900/1000*B6</f>
        <v>75.4974</v>
      </c>
      <c r="C26" s="9" t="s">
        <v>16</v>
      </c>
      <c r="E26" s="6">
        <v>6000000000000000</v>
      </c>
      <c r="F26" s="1">
        <v>98</v>
      </c>
      <c r="G26" s="31">
        <v>8</v>
      </c>
      <c r="H26" s="1">
        <v>23</v>
      </c>
      <c r="I26" s="1">
        <v>0.8</v>
      </c>
      <c r="J26" s="2"/>
      <c r="K26" s="7"/>
      <c r="L26" s="2"/>
      <c r="M26" s="2"/>
      <c r="N26" s="7"/>
      <c r="O26" s="7"/>
      <c r="P26" s="7"/>
      <c r="Q26" s="7"/>
    </row>
    <row r="27" spans="1:17" ht="17.25">
      <c r="A27" s="9" t="s">
        <v>17</v>
      </c>
      <c r="B27" s="16">
        <f>B26*B9</f>
        <v>242.50416070886268</v>
      </c>
      <c r="C27" s="9" t="s">
        <v>16</v>
      </c>
      <c r="E27" s="6">
        <v>7000000000000000</v>
      </c>
      <c r="F27" s="1">
        <v>107</v>
      </c>
      <c r="G27" s="30">
        <v>7.5</v>
      </c>
      <c r="H27" s="1">
        <v>24</v>
      </c>
      <c r="I27" s="1">
        <v>0.8</v>
      </c>
      <c r="J27" s="2"/>
      <c r="K27" s="7"/>
      <c r="L27" s="2"/>
      <c r="M27" s="2"/>
      <c r="N27" s="7"/>
      <c r="O27" s="7"/>
      <c r="P27" s="7"/>
      <c r="Q27" s="7"/>
    </row>
    <row r="28" spans="1:17" ht="15">
      <c r="A28" s="19"/>
      <c r="B28" s="33"/>
      <c r="C28" s="19"/>
      <c r="E28" s="6">
        <v>8000000000000000</v>
      </c>
      <c r="F28" s="1">
        <v>116</v>
      </c>
      <c r="G28" s="1">
        <v>7.3</v>
      </c>
      <c r="H28" s="1">
        <v>25</v>
      </c>
      <c r="I28" s="1">
        <v>0.79</v>
      </c>
      <c r="J28" s="2"/>
      <c r="K28" s="7"/>
      <c r="L28" s="2"/>
      <c r="M28" s="2"/>
      <c r="N28" s="7"/>
      <c r="O28" s="7"/>
      <c r="P28" s="7"/>
      <c r="Q28" s="7"/>
    </row>
    <row r="29" spans="1:17" ht="17.25">
      <c r="A29" s="32" t="s">
        <v>37</v>
      </c>
      <c r="B29" s="16">
        <f>B18*B7</f>
        <v>8.801020408163266</v>
      </c>
      <c r="C29" s="32" t="s">
        <v>38</v>
      </c>
      <c r="E29" s="6">
        <v>9000000000000000</v>
      </c>
      <c r="F29" s="1">
        <v>125</v>
      </c>
      <c r="G29" s="1">
        <v>7.1</v>
      </c>
      <c r="H29" s="1">
        <v>26</v>
      </c>
      <c r="I29" s="1">
        <v>0.79</v>
      </c>
      <c r="J29" s="2"/>
      <c r="K29" s="7"/>
      <c r="L29" s="2"/>
      <c r="M29" s="2"/>
      <c r="N29" s="7"/>
      <c r="O29" s="7"/>
      <c r="P29" s="7"/>
      <c r="Q29" s="7"/>
    </row>
    <row r="30" spans="5:17" ht="15">
      <c r="E30" s="6">
        <v>10000000000000000</v>
      </c>
      <c r="F30" s="1">
        <v>135.3</v>
      </c>
      <c r="G30" s="30">
        <v>6.9</v>
      </c>
      <c r="H30" s="1">
        <v>27</v>
      </c>
      <c r="I30" s="1">
        <v>0.78</v>
      </c>
      <c r="J30" s="2"/>
      <c r="K30" s="7"/>
      <c r="L30" s="2"/>
      <c r="M30" s="2"/>
      <c r="N30" s="7"/>
      <c r="O30" s="7"/>
      <c r="P30" s="7"/>
      <c r="Q30" s="7"/>
    </row>
    <row r="31" spans="1:17" ht="15">
      <c r="A31" s="9" t="s">
        <v>22</v>
      </c>
      <c r="B31" s="18">
        <f>B20*B4*B11*1000*B6</f>
        <v>4918.119103709462</v>
      </c>
      <c r="C31" s="9" t="s">
        <v>23</v>
      </c>
      <c r="E31" s="6">
        <v>11000000000000000</v>
      </c>
      <c r="F31" s="1">
        <v>145</v>
      </c>
      <c r="G31" s="1">
        <v>6.7</v>
      </c>
      <c r="H31" s="1">
        <v>28</v>
      </c>
      <c r="I31" s="1">
        <v>0.78</v>
      </c>
      <c r="J31" s="2"/>
      <c r="K31" s="7"/>
      <c r="L31" s="2"/>
      <c r="M31" s="2"/>
      <c r="N31" s="7"/>
      <c r="O31" s="7"/>
      <c r="P31" s="7"/>
      <c r="Q31" s="7"/>
    </row>
    <row r="32" spans="1:17" ht="15">
      <c r="A32" s="9" t="s">
        <v>24</v>
      </c>
      <c r="B32" s="18">
        <f>B31*B9/B11</f>
        <v>4918.119103709462</v>
      </c>
      <c r="C32" s="9" t="s">
        <v>23</v>
      </c>
      <c r="E32" s="6">
        <v>12000000000000000</v>
      </c>
      <c r="F32" s="1">
        <v>155</v>
      </c>
      <c r="G32" s="1">
        <v>6.5</v>
      </c>
      <c r="H32" s="1">
        <v>29</v>
      </c>
      <c r="I32" s="1">
        <v>0.77</v>
      </c>
      <c r="J32" s="2"/>
      <c r="K32" s="7"/>
      <c r="L32" s="2"/>
      <c r="M32" s="2"/>
      <c r="N32" s="7"/>
      <c r="O32" s="7"/>
      <c r="P32" s="7"/>
      <c r="Q32" s="7"/>
    </row>
    <row r="33" spans="5:17" ht="15">
      <c r="E33" s="6">
        <v>13000000000000000</v>
      </c>
      <c r="F33" s="1">
        <v>165</v>
      </c>
      <c r="G33" s="1">
        <v>6.3</v>
      </c>
      <c r="H33" s="1">
        <v>30</v>
      </c>
      <c r="I33" s="1">
        <v>0.77</v>
      </c>
      <c r="J33" s="2"/>
      <c r="K33" s="7"/>
      <c r="L33" s="2"/>
      <c r="M33" s="2"/>
      <c r="N33" s="7"/>
      <c r="O33" s="7"/>
      <c r="P33" s="7"/>
      <c r="Q33" s="7"/>
    </row>
    <row r="34" spans="5:17" ht="12" customHeight="1">
      <c r="E34" s="6">
        <v>14000000000000000</v>
      </c>
      <c r="F34" s="1">
        <v>175</v>
      </c>
      <c r="G34" s="1">
        <v>6</v>
      </c>
      <c r="H34" s="1">
        <v>31</v>
      </c>
      <c r="I34" s="1">
        <v>0.77</v>
      </c>
      <c r="J34" s="2"/>
      <c r="K34" s="7"/>
      <c r="L34" s="2"/>
      <c r="M34" s="2"/>
      <c r="N34" s="7"/>
      <c r="O34" s="7"/>
      <c r="P34" s="7"/>
      <c r="Q34" s="7"/>
    </row>
    <row r="35" spans="5:17" ht="15">
      <c r="E35" s="6">
        <v>15000000000000000</v>
      </c>
      <c r="F35" s="1">
        <v>186.9</v>
      </c>
      <c r="G35" s="30">
        <v>5.7</v>
      </c>
      <c r="H35" s="1">
        <v>32</v>
      </c>
      <c r="I35" s="1">
        <v>0.77</v>
      </c>
      <c r="J35" s="2"/>
      <c r="K35" s="7"/>
      <c r="L35" s="2"/>
      <c r="M35" s="2"/>
      <c r="N35" s="7"/>
      <c r="O35" s="7"/>
      <c r="P35" s="7"/>
      <c r="Q35" s="7"/>
    </row>
    <row r="36" spans="5:17" ht="15">
      <c r="E36" s="6">
        <v>16000000000000000</v>
      </c>
      <c r="F36" s="1">
        <v>202</v>
      </c>
      <c r="G36" s="30">
        <v>5.5</v>
      </c>
      <c r="H36" s="1">
        <v>33</v>
      </c>
      <c r="I36" s="1">
        <v>0.76</v>
      </c>
      <c r="J36" s="2"/>
      <c r="K36" s="7"/>
      <c r="L36" s="2"/>
      <c r="M36" s="2"/>
      <c r="N36" s="7"/>
      <c r="O36" s="7"/>
      <c r="P36" s="7"/>
      <c r="Q36" s="7"/>
    </row>
    <row r="37" spans="5:17" ht="15">
      <c r="E37" s="6">
        <v>17000000000000000</v>
      </c>
      <c r="F37" s="1">
        <f>F36+10</f>
        <v>212</v>
      </c>
      <c r="G37" s="1">
        <v>5.4</v>
      </c>
      <c r="H37" s="1">
        <v>34</v>
      </c>
      <c r="I37" s="1">
        <v>0.76</v>
      </c>
      <c r="J37" s="2"/>
      <c r="K37" s="7"/>
      <c r="L37" s="2"/>
      <c r="M37" s="2"/>
      <c r="N37" s="7"/>
      <c r="O37" s="7"/>
      <c r="P37" s="7"/>
      <c r="Q37" s="7"/>
    </row>
    <row r="38" spans="5:17" ht="15">
      <c r="E38" s="6">
        <v>18000000000000000</v>
      </c>
      <c r="F38" s="1">
        <f aca="true" t="shared" si="0" ref="F38:F45">F37+10</f>
        <v>222</v>
      </c>
      <c r="G38" s="1">
        <v>5.3</v>
      </c>
      <c r="H38" s="1">
        <v>35</v>
      </c>
      <c r="I38" s="1">
        <v>0.75</v>
      </c>
      <c r="J38" s="2"/>
      <c r="K38" s="7"/>
      <c r="L38" s="2"/>
      <c r="M38" s="2"/>
      <c r="N38" s="7"/>
      <c r="O38" s="7"/>
      <c r="P38" s="7"/>
      <c r="Q38" s="7"/>
    </row>
    <row r="39" spans="5:17" ht="15">
      <c r="E39" s="6">
        <v>19000000000000000</v>
      </c>
      <c r="F39" s="1">
        <f t="shared" si="0"/>
        <v>232</v>
      </c>
      <c r="G39" s="27">
        <v>5.2</v>
      </c>
      <c r="H39" s="1">
        <v>36</v>
      </c>
      <c r="I39" s="1">
        <v>0.75</v>
      </c>
      <c r="J39" s="2"/>
      <c r="K39" s="7"/>
      <c r="L39" s="2"/>
      <c r="M39" s="2"/>
      <c r="N39" s="7"/>
      <c r="O39" s="7"/>
      <c r="P39" s="7"/>
      <c r="Q39" s="7"/>
    </row>
    <row r="40" spans="5:17" ht="15">
      <c r="E40" s="6">
        <v>20000000000000000</v>
      </c>
      <c r="F40" s="1">
        <f t="shared" si="0"/>
        <v>242</v>
      </c>
      <c r="G40" s="30">
        <v>5</v>
      </c>
      <c r="H40" s="1">
        <v>37</v>
      </c>
      <c r="I40" s="1">
        <v>0.74</v>
      </c>
      <c r="J40" s="2"/>
      <c r="K40" s="7"/>
      <c r="L40" s="2"/>
      <c r="M40" s="2"/>
      <c r="N40" s="7"/>
      <c r="O40" s="7"/>
      <c r="P40" s="7"/>
      <c r="Q40" s="7"/>
    </row>
    <row r="41" spans="5:16" ht="15">
      <c r="E41" s="6">
        <v>21000000000000000</v>
      </c>
      <c r="F41" s="1">
        <f t="shared" si="0"/>
        <v>252</v>
      </c>
      <c r="G41" s="1">
        <v>0</v>
      </c>
      <c r="H41" s="1">
        <v>38</v>
      </c>
      <c r="I41" s="1">
        <v>0.74</v>
      </c>
      <c r="J41" s="2"/>
      <c r="K41" s="7"/>
      <c r="L41" s="2"/>
      <c r="M41" s="2"/>
      <c r="N41" s="7"/>
      <c r="O41" s="7"/>
      <c r="P41" s="7"/>
    </row>
    <row r="42" spans="5:16" ht="15">
      <c r="E42" s="6">
        <v>22000000000000000</v>
      </c>
      <c r="F42" s="1">
        <f t="shared" si="0"/>
        <v>262</v>
      </c>
      <c r="G42" s="1">
        <v>0</v>
      </c>
      <c r="H42" s="1">
        <v>39</v>
      </c>
      <c r="I42" s="1">
        <v>0.73</v>
      </c>
      <c r="K42" s="7"/>
      <c r="L42" s="2"/>
      <c r="M42" s="2"/>
      <c r="N42" s="7"/>
      <c r="O42" s="7"/>
      <c r="P42" s="7"/>
    </row>
    <row r="43" spans="5:16" ht="14.25" customHeight="1">
      <c r="E43" s="6">
        <v>23000000000000000</v>
      </c>
      <c r="F43" s="1">
        <f t="shared" si="0"/>
        <v>272</v>
      </c>
      <c r="G43" s="1">
        <v>0</v>
      </c>
      <c r="H43" s="1">
        <v>40</v>
      </c>
      <c r="I43" s="1">
        <v>0.73</v>
      </c>
      <c r="L43" s="2"/>
      <c r="M43" s="2"/>
      <c r="N43" s="7"/>
      <c r="O43" s="6"/>
      <c r="P43" s="7"/>
    </row>
    <row r="44" spans="5:11" ht="15">
      <c r="E44" s="6">
        <v>24000000000000000</v>
      </c>
      <c r="F44" s="1">
        <f t="shared" si="0"/>
        <v>282</v>
      </c>
      <c r="G44" s="1">
        <v>0</v>
      </c>
      <c r="H44" s="1">
        <v>41</v>
      </c>
      <c r="I44" s="1">
        <v>0.73</v>
      </c>
      <c r="K44" s="6"/>
    </row>
    <row r="45" spans="5:9" ht="15">
      <c r="E45" s="6">
        <v>25000000000000000</v>
      </c>
      <c r="F45" s="1">
        <f t="shared" si="0"/>
        <v>292</v>
      </c>
      <c r="G45" s="1">
        <v>0</v>
      </c>
      <c r="H45" s="1">
        <v>42</v>
      </c>
      <c r="I45" s="1">
        <v>0.73</v>
      </c>
    </row>
    <row r="46" spans="5:9" ht="15">
      <c r="E46" s="6"/>
      <c r="G46" s="30" t="s">
        <v>33</v>
      </c>
      <c r="H46" s="1">
        <v>43</v>
      </c>
      <c r="I46" s="1">
        <v>0.73</v>
      </c>
    </row>
    <row r="47" spans="5:9" ht="15">
      <c r="E47" s="6"/>
      <c r="G47" s="27" t="s">
        <v>34</v>
      </c>
      <c r="H47" s="1">
        <v>44</v>
      </c>
      <c r="I47" s="1">
        <v>0.73</v>
      </c>
    </row>
    <row r="48" spans="5:9" ht="15">
      <c r="E48" s="6"/>
      <c r="H48" s="1">
        <v>45</v>
      </c>
      <c r="I48" s="1">
        <v>0.72</v>
      </c>
    </row>
    <row r="49" spans="5:9" ht="15">
      <c r="E49" s="6"/>
      <c r="H49" s="1">
        <v>46</v>
      </c>
      <c r="I49" s="1">
        <v>0.72</v>
      </c>
    </row>
    <row r="50" spans="5:10" ht="15">
      <c r="E50" s="6"/>
      <c r="H50" s="1">
        <v>47</v>
      </c>
      <c r="I50" s="1">
        <v>0.72</v>
      </c>
      <c r="J50" s="2"/>
    </row>
    <row r="51" spans="5:10" ht="15">
      <c r="E51" s="6"/>
      <c r="H51" s="1">
        <v>48</v>
      </c>
      <c r="I51" s="1">
        <v>0.72</v>
      </c>
      <c r="J51" s="2"/>
    </row>
    <row r="52" spans="5:10" ht="15">
      <c r="E52" s="6"/>
      <c r="H52" s="1">
        <v>49</v>
      </c>
      <c r="I52" s="1">
        <v>0.72</v>
      </c>
      <c r="J52" s="2"/>
    </row>
    <row r="53" spans="5:18" ht="15">
      <c r="E53" s="6"/>
      <c r="H53" s="1">
        <v>50</v>
      </c>
      <c r="I53" s="1">
        <v>0.72</v>
      </c>
      <c r="L53" s="22"/>
      <c r="M53" s="22"/>
      <c r="N53" s="22"/>
      <c r="O53" s="22"/>
      <c r="P53" s="22"/>
      <c r="Q53" s="22"/>
      <c r="R53" s="22"/>
    </row>
    <row r="54" spans="5:18" ht="15">
      <c r="E54" s="6"/>
      <c r="H54" s="1">
        <v>51</v>
      </c>
      <c r="I54" s="1">
        <v>0.71</v>
      </c>
      <c r="L54" s="23"/>
      <c r="M54" s="23"/>
      <c r="N54" s="23"/>
      <c r="O54" s="23"/>
      <c r="P54" s="23"/>
      <c r="Q54" s="23"/>
      <c r="R54" s="23"/>
    </row>
    <row r="55" spans="8:18" ht="15">
      <c r="H55" s="1">
        <v>52</v>
      </c>
      <c r="I55" s="1">
        <v>0.71</v>
      </c>
      <c r="L55" s="24"/>
      <c r="M55" s="24"/>
      <c r="N55" s="24"/>
      <c r="O55" s="24"/>
      <c r="P55" s="24"/>
      <c r="Q55" s="24"/>
      <c r="R55" s="24"/>
    </row>
    <row r="56" spans="8:9" ht="15">
      <c r="H56" s="1">
        <v>53</v>
      </c>
      <c r="I56" s="1">
        <v>0.71</v>
      </c>
    </row>
    <row r="57" spans="8:9" ht="15">
      <c r="H57" s="1">
        <v>54</v>
      </c>
      <c r="I57" s="1">
        <v>0.71</v>
      </c>
    </row>
    <row r="58" spans="8:9" ht="15">
      <c r="H58" s="1">
        <v>55</v>
      </c>
      <c r="I58" s="1">
        <v>0.71</v>
      </c>
    </row>
    <row r="59" spans="8:9" ht="15">
      <c r="H59" s="1">
        <v>56</v>
      </c>
      <c r="I59" s="1">
        <v>0.7</v>
      </c>
    </row>
    <row r="60" spans="8:9" ht="15">
      <c r="H60" s="1">
        <v>57</v>
      </c>
      <c r="I60" s="1">
        <v>0.7</v>
      </c>
    </row>
    <row r="61" spans="8:9" ht="15">
      <c r="H61" s="1">
        <v>58</v>
      </c>
      <c r="I61" s="1">
        <v>0.7</v>
      </c>
    </row>
    <row r="62" spans="8:9" ht="15">
      <c r="H62" s="1">
        <v>59</v>
      </c>
      <c r="I62" s="1">
        <v>0.7</v>
      </c>
    </row>
    <row r="63" spans="8:9" ht="15">
      <c r="H63" s="1">
        <v>60</v>
      </c>
      <c r="I63" s="1">
        <v>0.7</v>
      </c>
    </row>
    <row r="64" spans="8:9" ht="15">
      <c r="H64" s="1">
        <v>70</v>
      </c>
      <c r="I64" s="1">
        <v>0.66</v>
      </c>
    </row>
    <row r="65" spans="8:9" ht="15">
      <c r="H65" s="1">
        <v>80</v>
      </c>
      <c r="I65" s="1">
        <v>0.65</v>
      </c>
    </row>
    <row r="66" spans="8:9" ht="15">
      <c r="H66" s="1">
        <v>90</v>
      </c>
      <c r="I66" s="1">
        <v>0.63</v>
      </c>
    </row>
    <row r="67" spans="8:12" ht="15">
      <c r="H67" s="1">
        <v>100</v>
      </c>
      <c r="I67" s="1">
        <v>0.62</v>
      </c>
      <c r="L67" s="6"/>
    </row>
    <row r="68" spans="8:9" ht="15">
      <c r="H68" s="1">
        <v>120</v>
      </c>
      <c r="I68" s="1">
        <v>0.61</v>
      </c>
    </row>
    <row r="69" spans="8:9" ht="15">
      <c r="H69" s="1">
        <v>140</v>
      </c>
      <c r="I69" s="1">
        <v>0.6</v>
      </c>
    </row>
    <row r="70" spans="8:9" ht="15">
      <c r="H70" s="1">
        <v>160</v>
      </c>
      <c r="I70" s="1">
        <v>0.59</v>
      </c>
    </row>
    <row r="71" spans="8:9" ht="15">
      <c r="H71" s="1">
        <v>180</v>
      </c>
      <c r="I71" s="1">
        <v>0.58</v>
      </c>
    </row>
    <row r="72" spans="8:9" ht="15">
      <c r="H72" s="1">
        <v>200</v>
      </c>
      <c r="I72" s="1">
        <v>0.57</v>
      </c>
    </row>
    <row r="73" spans="8:9" ht="15">
      <c r="H73" s="1">
        <v>220</v>
      </c>
      <c r="I73" s="1">
        <v>0.56</v>
      </c>
    </row>
    <row r="74" spans="8:9" ht="15">
      <c r="H74" s="1">
        <v>240</v>
      </c>
      <c r="I74" s="1">
        <v>0.55</v>
      </c>
    </row>
    <row r="75" spans="8:9" ht="15">
      <c r="H75" s="1">
        <v>260</v>
      </c>
      <c r="I75" s="1">
        <v>0.54</v>
      </c>
    </row>
    <row r="76" spans="8:9" ht="15">
      <c r="H76" s="1">
        <v>280</v>
      </c>
      <c r="I76" s="1">
        <v>0.53</v>
      </c>
    </row>
    <row r="77" spans="8:9" ht="15">
      <c r="H77" s="1">
        <v>300</v>
      </c>
      <c r="I77" s="1">
        <v>0.52</v>
      </c>
    </row>
    <row r="78" spans="8:9" ht="15">
      <c r="H78" s="1">
        <v>325</v>
      </c>
      <c r="I78" s="1">
        <v>0.51</v>
      </c>
    </row>
    <row r="79" spans="8:9" ht="15">
      <c r="H79" s="1">
        <v>350</v>
      </c>
      <c r="I79" s="1">
        <v>0.5</v>
      </c>
    </row>
    <row r="80" spans="8:9" ht="15">
      <c r="H80" s="1">
        <v>375</v>
      </c>
      <c r="I80" s="1">
        <v>0.49</v>
      </c>
    </row>
    <row r="81" spans="8:9" ht="15">
      <c r="H81" s="1">
        <v>400</v>
      </c>
      <c r="I81" s="1">
        <v>0.48</v>
      </c>
    </row>
    <row r="82" spans="8:9" ht="15">
      <c r="H82" s="1">
        <v>433</v>
      </c>
      <c r="I82" s="1">
        <v>0.47</v>
      </c>
    </row>
    <row r="83" spans="8:9" ht="15">
      <c r="H83" s="1">
        <v>466</v>
      </c>
      <c r="I83" s="1">
        <v>0.46</v>
      </c>
    </row>
    <row r="84" spans="8:9" ht="15">
      <c r="H84" s="1">
        <v>500</v>
      </c>
      <c r="I84" s="1">
        <v>0.45</v>
      </c>
    </row>
    <row r="85" spans="8:9" ht="15">
      <c r="H85" s="1">
        <v>550</v>
      </c>
      <c r="I85" s="1">
        <v>0.44</v>
      </c>
    </row>
    <row r="86" spans="8:9" ht="15">
      <c r="H86" s="1">
        <v>600</v>
      </c>
      <c r="I86" s="1">
        <v>0.43</v>
      </c>
    </row>
    <row r="87" spans="8:9" ht="15">
      <c r="H87" s="1">
        <v>650</v>
      </c>
      <c r="I87" s="1">
        <v>0.42</v>
      </c>
    </row>
    <row r="88" spans="8:9" ht="15">
      <c r="H88" s="1">
        <v>700</v>
      </c>
      <c r="I88" s="1">
        <v>0.41</v>
      </c>
    </row>
    <row r="89" spans="8:9" ht="15">
      <c r="H89" s="1">
        <v>800</v>
      </c>
      <c r="I89" s="1">
        <v>0.4</v>
      </c>
    </row>
    <row r="90" spans="8:9" ht="15">
      <c r="H90" s="1">
        <v>900</v>
      </c>
      <c r="I90" s="1">
        <v>0.39</v>
      </c>
    </row>
    <row r="91" spans="8:9" ht="15">
      <c r="H91" s="1">
        <v>950</v>
      </c>
      <c r="I91" s="1">
        <v>0.38</v>
      </c>
    </row>
    <row r="92" spans="8:9" ht="15">
      <c r="H92" s="1">
        <v>1000</v>
      </c>
      <c r="I92" s="1">
        <v>0.37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Liverpool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affolder</dc:creator>
  <cp:keywords/>
  <dc:description/>
  <cp:lastModifiedBy>LHCb</cp:lastModifiedBy>
  <dcterms:created xsi:type="dcterms:W3CDTF">2008-11-12T09:44:33Z</dcterms:created>
  <dcterms:modified xsi:type="dcterms:W3CDTF">2009-02-06T12:41:51Z</dcterms:modified>
  <cp:category/>
  <cp:version/>
  <cp:contentType/>
  <cp:contentStatus/>
</cp:coreProperties>
</file>