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5405" windowHeight="9720" activeTab="0"/>
  </bookViews>
  <sheets>
    <sheet name="Persistent capable classes" sheetId="1" r:id="rId1"/>
    <sheet name="Overheads" sheetId="2" r:id="rId2"/>
  </sheets>
  <definedNames/>
  <calcPr fullCalcOnLoad="1"/>
</workbook>
</file>

<file path=xl/sharedStrings.xml><?xml version="1.0" encoding="utf-8"?>
<sst xmlns="http://schemas.openxmlformats.org/spreadsheetml/2006/main" count="506" uniqueCount="422">
  <si>
    <t>Sub-System</t>
  </si>
  <si>
    <t>Class</t>
  </si>
  <si>
    <t>Estimated</t>
  </si>
  <si>
    <t>Measured</t>
  </si>
  <si>
    <t>L0</t>
  </si>
  <si>
    <t>L0MuonCandidate</t>
  </si>
  <si>
    <t>L0CaloCandidate</t>
  </si>
  <si>
    <t>L0DUReport</t>
  </si>
  <si>
    <t>L1</t>
  </si>
  <si>
    <t>L1Track2d</t>
  </si>
  <si>
    <t>L1Track3d</t>
  </si>
  <si>
    <t>L1Vertex2d</t>
  </si>
  <si>
    <t>L1Vertex3d</t>
  </si>
  <si>
    <t>Headers</t>
  </si>
  <si>
    <t>EventHeader</t>
  </si>
  <si>
    <t>GenHeader</t>
  </si>
  <si>
    <t>MC</t>
  </si>
  <si>
    <t>Collision</t>
  </si>
  <si>
    <t>MCParticle</t>
  </si>
  <si>
    <t>MCVertex</t>
  </si>
  <si>
    <t>DataObject</t>
  </si>
  <si>
    <t>ContainedObject</t>
  </si>
  <si>
    <t>KeyedObject</t>
  </si>
  <si>
    <t>SmartRef</t>
  </si>
  <si>
    <t>Overheads and sizes used in estimates</t>
  </si>
  <si>
    <t>double</t>
  </si>
  <si>
    <t>HepPoint3D</t>
  </si>
  <si>
    <t>HepLorentzVector</t>
  </si>
  <si>
    <t>ParticleID</t>
  </si>
  <si>
    <t>SmartRefVector</t>
  </si>
  <si>
    <t>std::vector</t>
  </si>
  <si>
    <t>HepSymMatrix(3)</t>
  </si>
  <si>
    <t>HepVector3D</t>
  </si>
  <si>
    <t>VeloCluster</t>
  </si>
  <si>
    <t>MCVeloHit</t>
  </si>
  <si>
    <t>MCVeloFE</t>
  </si>
  <si>
    <t>std::pair</t>
  </si>
  <si>
    <t>MCHit</t>
  </si>
  <si>
    <t>OT</t>
  </si>
  <si>
    <t>OTDigit</t>
  </si>
  <si>
    <t>MCOTDigit</t>
  </si>
  <si>
    <t>MCOTDeposit</t>
  </si>
  <si>
    <t>OTCluster</t>
  </si>
  <si>
    <t>Tr</t>
  </si>
  <si>
    <t>TrStoredTrack</t>
  </si>
  <si>
    <t>TrStateP</t>
  </si>
  <si>
    <t>TrState</t>
  </si>
  <si>
    <t>HepVector(5)</t>
  </si>
  <si>
    <t>HepSymMatrix(5)</t>
  </si>
  <si>
    <t>OTClusterOnStoredTrack</t>
  </si>
  <si>
    <t>ITClusterOnStoredTrack</t>
  </si>
  <si>
    <t>VeloClusterOnStoredTrack</t>
  </si>
  <si>
    <t>Calo</t>
  </si>
  <si>
    <t>Muon</t>
  </si>
  <si>
    <t>MCCaloHit</t>
  </si>
  <si>
    <t>MCCaloDigit</t>
  </si>
  <si>
    <t>CaloDigit</t>
  </si>
  <si>
    <t>CaloCluster</t>
  </si>
  <si>
    <t>CaloHypo</t>
  </si>
  <si>
    <t>CaloParticle</t>
  </si>
  <si>
    <t>Rich</t>
  </si>
  <si>
    <t>Velo</t>
  </si>
  <si>
    <t>End-vertices</t>
  </si>
  <si>
    <t>Products</t>
  </si>
  <si>
    <t>Pads</t>
  </si>
  <si>
    <t>Clusters</t>
  </si>
  <si>
    <t>Tracks in vertex</t>
  </si>
  <si>
    <t>Hits per cluster</t>
  </si>
  <si>
    <t>Hits per channel</t>
  </si>
  <si>
    <t>Digits per cluster</t>
  </si>
  <si>
    <t>TDC times per digit</t>
  </si>
  <si>
    <t>Deposits per digit</t>
  </si>
  <si>
    <t>States per track</t>
  </si>
  <si>
    <t>Clusters per track</t>
  </si>
  <si>
    <t>Average references per object</t>
  </si>
  <si>
    <t>Hits per Digit</t>
  </si>
  <si>
    <t>HepVector(2)</t>
  </si>
  <si>
    <t>HepVector(3)</t>
  </si>
  <si>
    <t>HepSymMatrix(2)</t>
  </si>
  <si>
    <t>CaloClusterEntry</t>
  </si>
  <si>
    <t>CaloPosition</t>
  </si>
  <si>
    <t>Entries per Cluster</t>
  </si>
  <si>
    <t>CaloMomentum</t>
  </si>
  <si>
    <t>HepSymMatrix(4)</t>
  </si>
  <si>
    <t>Clusters per Hypo</t>
  </si>
  <si>
    <t>Hypos per particle</t>
  </si>
  <si>
    <t>MCMuonDigit</t>
  </si>
  <si>
    <t>MuonDigit</t>
  </si>
  <si>
    <t>MuonCoord</t>
  </si>
  <si>
    <t>Digits per Coord</t>
  </si>
  <si>
    <t>Coords per MuonID</t>
  </si>
  <si>
    <t>(default serialisation)</t>
  </si>
  <si>
    <t>Average objects per event</t>
  </si>
  <si>
    <t>Fraction</t>
  </si>
  <si>
    <t>Relation to</t>
  </si>
  <si>
    <t>Total OO-DST size</t>
  </si>
  <si>
    <t>Size saved to OO-DST (bytes)</t>
  </si>
  <si>
    <t>Size without MC truth</t>
  </si>
  <si>
    <t>Object size (bytes)</t>
  </si>
  <si>
    <t>MCRichOpticalPhoton</t>
  </si>
  <si>
    <t>MCRichDigit</t>
  </si>
  <si>
    <t>RichDigit</t>
  </si>
  <si>
    <t>RichPID</t>
  </si>
  <si>
    <t>Hits per digit</t>
  </si>
  <si>
    <t>CLID</t>
  </si>
  <si>
    <t>Gen/Header</t>
  </si>
  <si>
    <t>Gen/Collisions</t>
  </si>
  <si>
    <t>MC/Particles</t>
  </si>
  <si>
    <t>MC/Vertices</t>
  </si>
  <si>
    <t>MCCaloSensPlaneHit</t>
  </si>
  <si>
    <t>L0CaloAdc</t>
  </si>
  <si>
    <t>L0PrsSpdHit</t>
  </si>
  <si>
    <t>L1Cluster</t>
  </si>
  <si>
    <t>L1MCTruth</t>
  </si>
  <si>
    <t>L1Raw</t>
  </si>
  <si>
    <t>MCMuonHit</t>
  </si>
  <si>
    <t>Phys</t>
  </si>
  <si>
    <t>Particle</t>
  </si>
  <si>
    <t>Vertex</t>
  </si>
  <si>
    <t>AxPartCandidate</t>
  </si>
  <si>
    <t>MCRichDeposit</t>
  </si>
  <si>
    <t>MCRichRadiatorHit</t>
  </si>
  <si>
    <t>RichGlobalPID</t>
  </si>
  <si>
    <t>RichLocalPID</t>
  </si>
  <si>
    <t>RichPIDAlgBase</t>
  </si>
  <si>
    <t>RichPIDHistory</t>
  </si>
  <si>
    <t>RichRingFinderPID</t>
  </si>
  <si>
    <t>TrStateL</t>
  </si>
  <si>
    <t>Trig/L0/Muon</t>
  </si>
  <si>
    <t>Trig/L0/Decision</t>
  </si>
  <si>
    <t>MC/OT/Deposits</t>
  </si>
  <si>
    <t>MC/Rich/Digits</t>
  </si>
  <si>
    <t>MC/Rich/OpticalPhotons</t>
  </si>
  <si>
    <t>MCRichPhotodetectorHit</t>
  </si>
  <si>
    <t>Raw/Rich/Digits</t>
  </si>
  <si>
    <t>Rec/Rich/PIDs</t>
  </si>
  <si>
    <t>MC/Velo/FE</t>
  </si>
  <si>
    <t>Trig/L0/EcalRaw</t>
  </si>
  <si>
    <t>Trig/L0/HcalRaw</t>
  </si>
  <si>
    <t>Trig/L0/PrsRaw</t>
  </si>
  <si>
    <t>Trig/L0/SpdRaw</t>
  </si>
  <si>
    <t>MC/&lt;Det&gt;/Hits</t>
  </si>
  <si>
    <t>MC/&lt;Det&gt;/Digits</t>
  </si>
  <si>
    <t>Raw/&lt;Det&gt;/Digits</t>
  </si>
  <si>
    <t>MC/Muon/Digits</t>
  </si>
  <si>
    <t>Raw/Muon/Digits</t>
  </si>
  <si>
    <t>Phys/User/Particles</t>
  </si>
  <si>
    <t>Phys/Prod/Particles</t>
  </si>
  <si>
    <t>Phys/User/Vertices</t>
  </si>
  <si>
    <t>Phys/Prod/Vertices</t>
  </si>
  <si>
    <t>Phys/PrimaryVertices</t>
  </si>
  <si>
    <t>Trig/L0/Calo</t>
  </si>
  <si>
    <t>TDS path (after /Event/)</t>
  </si>
  <si>
    <t>MC/Velo/PuFE</t>
  </si>
  <si>
    <t>TrFitTrack</t>
  </si>
  <si>
    <t>Raw/Velo/Clusters</t>
  </si>
  <si>
    <t>Rec/Status</t>
  </si>
  <si>
    <t>Gen/HepMCEvents</t>
  </si>
  <si>
    <t>PrimVertex</t>
  </si>
  <si>
    <t>ProtoParticle</t>
  </si>
  <si>
    <t>Rec/ProtoP/Final</t>
  </si>
  <si>
    <t>Rec/ProtoP/Charged</t>
  </si>
  <si>
    <t>Rec/ProtoP/Neutrals</t>
  </si>
  <si>
    <t>FlavourTag</t>
  </si>
  <si>
    <t>Phys/User/Tags</t>
  </si>
  <si>
    <t>Phys/Prod/Tags</t>
  </si>
  <si>
    <t>Framework</t>
  </si>
  <si>
    <t>ProcStatus</t>
  </si>
  <si>
    <t xml:space="preserve"> </t>
  </si>
  <si>
    <t>MC/Rich/Hits</t>
  </si>
  <si>
    <t>L1Report</t>
  </si>
  <si>
    <t>AlgUsedTime - Until Brunel v15r0</t>
  </si>
  <si>
    <t>AlgUsedTime - From Brunel v15r1</t>
  </si>
  <si>
    <t>V0</t>
  </si>
  <si>
    <t>L1STCluster</t>
  </si>
  <si>
    <t>L1OTCluster</t>
  </si>
  <si>
    <t>HltTrack</t>
  </si>
  <si>
    <t>HLT</t>
  </si>
  <si>
    <t>DAQ</t>
  </si>
  <si>
    <t>HltVertex</t>
  </si>
  <si>
    <t>L1Buffer</t>
  </si>
  <si>
    <t>L1Event</t>
  </si>
  <si>
    <t>L1Summary</t>
  </si>
  <si>
    <t>Rec/Calo/xxxClusters</t>
  </si>
  <si>
    <t>MCProperty</t>
  </si>
  <si>
    <t>MC/TrackInfo</t>
  </si>
  <si>
    <t>LinksByKey</t>
  </si>
  <si>
    <t>Link/xxx</t>
  </si>
  <si>
    <t>Trg</t>
  </si>
  <si>
    <t>TrgTrack</t>
  </si>
  <si>
    <t>TrgVertex</t>
  </si>
  <si>
    <t>OBSOLETE</t>
  </si>
  <si>
    <t>STL1Cluster</t>
  </si>
  <si>
    <t>SelResult</t>
  </si>
  <si>
    <t>Phys/Selections</t>
  </si>
  <si>
    <t>GenCollision</t>
  </si>
  <si>
    <t>HepMCEvent</t>
  </si>
  <si>
    <t>HardInfo</t>
  </si>
  <si>
    <t>GenMCLink</t>
  </si>
  <si>
    <t>L1Score</t>
  </si>
  <si>
    <t>EffCheckResult</t>
  </si>
  <si>
    <t>MCEffTree</t>
  </si>
  <si>
    <t>TrgDecision</t>
  </si>
  <si>
    <t>OTTime</t>
  </si>
  <si>
    <t>Raw/OT/Times</t>
  </si>
  <si>
    <t>MCOTTime</t>
  </si>
  <si>
    <t>MC/OT/Times</t>
  </si>
  <si>
    <t>TamperingResults</t>
  </si>
  <si>
    <t>Track</t>
  </si>
  <si>
    <t>Rec/Track/Best</t>
  </si>
  <si>
    <t>State</t>
  </si>
  <si>
    <t>Rec/Track/States</t>
  </si>
  <si>
    <t>HltScore</t>
  </si>
  <si>
    <t>Rdst</t>
  </si>
  <si>
    <t>PackedTrack</t>
  </si>
  <si>
    <t>PackedMCParticle</t>
  </si>
  <si>
    <t>PackedMCVertex</t>
  </si>
  <si>
    <t>PackedCollision</t>
  </si>
  <si>
    <t>TrackVertex</t>
  </si>
  <si>
    <t>FilterCriterionResult</t>
  </si>
  <si>
    <t>Phys/FilterCriteria</t>
  </si>
  <si>
    <t>RawBuffer</t>
  </si>
  <si>
    <t>RawEvent</t>
  </si>
  <si>
    <t>DAQ/RawEvent</t>
  </si>
  <si>
    <t>pSim/MCParticles</t>
  </si>
  <si>
    <t>pSim/MCVertices</t>
  </si>
  <si>
    <t>pSim/Collisions</t>
  </si>
  <si>
    <t>TrgCaloCluster</t>
  </si>
  <si>
    <t>TrgCaloParticle</t>
  </si>
  <si>
    <t>VeloBankHeader</t>
  </si>
  <si>
    <t>Gaudi</t>
  </si>
  <si>
    <t>Reserved</t>
  </si>
  <si>
    <t>0-100</t>
  </si>
  <si>
    <t>RESERVED</t>
  </si>
  <si>
    <t>&gt;65535</t>
  </si>
  <si>
    <t>ProcessHeader</t>
  </si>
  <si>
    <t>MCHeader</t>
  </si>
  <si>
    <t>Dummy</t>
  </si>
  <si>
    <t>MC/Header</t>
  </si>
  <si>
    <t>Rec/Header</t>
  </si>
  <si>
    <t>RecHeader</t>
  </si>
  <si>
    <t>Minerva</t>
  </si>
  <si>
    <t>50000-50999</t>
  </si>
  <si>
    <t>IntLink</t>
  </si>
  <si>
    <t>InternalVeloCluster</t>
  </si>
  <si>
    <t>VeloFullFPGADigit</t>
  </si>
  <si>
    <t>VertexBase</t>
  </si>
  <si>
    <t>RecVertex</t>
  </si>
  <si>
    <t>Rec/Vertex/Primary</t>
  </si>
  <si>
    <t>MCRichDigitSummary</t>
  </si>
  <si>
    <t>MC/Rich/DigitSummaries</t>
  </si>
  <si>
    <t>MCRichTrack</t>
  </si>
  <si>
    <t>MC/Rich/Tracks</t>
  </si>
  <si>
    <t>MCSTDeposit</t>
  </si>
  <si>
    <t>MCSTDigit</t>
  </si>
  <si>
    <t>MC/&lt;det&gt;/Deposits</t>
  </si>
  <si>
    <t>MC/&lt;det&gt;/Digits</t>
  </si>
  <si>
    <t>MC/&lt;det&gt;/Hits</t>
  </si>
  <si>
    <t>CaloADC</t>
  </si>
  <si>
    <t>Raw/&lt;Det&gt;/Adcs</t>
  </si>
  <si>
    <t>Raw/&lt;Det&gt;/FullAdcs</t>
  </si>
  <si>
    <t>Rec/Calo/&lt;Hypothesis&gt;</t>
  </si>
  <si>
    <t>STDigit</t>
  </si>
  <si>
    <t>STCluster</t>
  </si>
  <si>
    <t>STSummary</t>
  </si>
  <si>
    <t>Raw/&lt;det&gt;/Digits</t>
  </si>
  <si>
    <t>Rec/&lt;det&gt;/Clusters</t>
  </si>
  <si>
    <t>Rec/&lt;det&gt;/Summary</t>
  </si>
  <si>
    <t>RichSummaryTrack</t>
  </si>
  <si>
    <t>Rec/Rich/Rich&lt;method&gt;SummaryTracks</t>
  </si>
  <si>
    <t>MuonPID</t>
  </si>
  <si>
    <t>Rec/Muon/MuonPID</t>
  </si>
  <si>
    <t>Rec/Muon/Coords</t>
  </si>
  <si>
    <t>MCRichHit</t>
  </si>
  <si>
    <t>MC/&lt;context&gt;/EffTrees</t>
  </si>
  <si>
    <t>LHCb Event model persistent classes</t>
  </si>
  <si>
    <t>MCExtendedHit</t>
  </si>
  <si>
    <t>HtlSummary</t>
  </si>
  <si>
    <t>ODIN</t>
  </si>
  <si>
    <t>DAQ/ODIN</t>
  </si>
  <si>
    <t>GhostTrackInfo</t>
  </si>
  <si>
    <t>MCSensPlaneHit</t>
  </si>
  <si>
    <t>MC/Ecal/SensPlaneHits</t>
  </si>
  <si>
    <t>TwoProngVertex</t>
  </si>
  <si>
    <t>Rec/Vertex/V0</t>
  </si>
  <si>
    <t>Daya Bay</t>
  </si>
  <si>
    <t>51000-51999</t>
  </si>
  <si>
    <t>L0MuonInfo</t>
  </si>
  <si>
    <t>L0MuonCtrlError</t>
  </si>
  <si>
    <t>L0MuonProcError</t>
  </si>
  <si>
    <t>Trig/L0/MuonCtrlError</t>
  </si>
  <si>
    <t>Trig/L0/MuonInfo</t>
  </si>
  <si>
    <t>Trig/L0/MuonProcError</t>
  </si>
  <si>
    <t>L0MuonData</t>
  </si>
  <si>
    <t>Trig/L0/MuonData</t>
  </si>
  <si>
    <t>L0MuonError</t>
  </si>
  <si>
    <t>Trig/L0/L0MuonError</t>
  </si>
  <si>
    <t>ST</t>
  </si>
  <si>
    <t>STTELL1Data</t>
  </si>
  <si>
    <t>STELL1EventInfo</t>
  </si>
  <si>
    <t>STTELL1Error</t>
  </si>
  <si>
    <t>STTELL1BoardErrorBank</t>
  </si>
  <si>
    <t>Raw/&lt;det&gt;/EventInfo</t>
  </si>
  <si>
    <t>Raw/&lt;det&gt;/Error</t>
  </si>
  <si>
    <t>Raw/&lt;det&gt;/ErrorTELL1</t>
  </si>
  <si>
    <t>Raw/&lt;det&gt;/&lt;bankType&gt;</t>
  </si>
  <si>
    <t>HltDecReports</t>
  </si>
  <si>
    <t>Hlt/(Emu/)DecReports</t>
  </si>
  <si>
    <t>HltLumiSummary</t>
  </si>
  <si>
    <t>Hlt/LumiSummary</t>
  </si>
  <si>
    <t>HltObjectSummary</t>
  </si>
  <si>
    <t>Hlt/(Emu/)SelReports</t>
  </si>
  <si>
    <t>Hlt/(Emu/)SelReports/Candidates</t>
  </si>
  <si>
    <t>HltSelReports</t>
  </si>
  <si>
    <t>HltVertexReports</t>
  </si>
  <si>
    <t>Hlt(Emu)/VertexReports</t>
  </si>
  <si>
    <t>HtlLumiResult</t>
  </si>
  <si>
    <t>Hlt/LumiResult</t>
  </si>
  <si>
    <t>pRec/Track/Best</t>
  </si>
  <si>
    <t>pRec/Track/Muon</t>
  </si>
  <si>
    <t>PackedCaloHypo</t>
  </si>
  <si>
    <t>pRec/Calo/Photons</t>
  </si>
  <si>
    <t>pRec/Calo/Electrons</t>
  </si>
  <si>
    <t>pRec/Calo/MergedPi0s</t>
  </si>
  <si>
    <t>pRec/Calo/SplitPhotons</t>
  </si>
  <si>
    <t>PackedProtoParticle</t>
  </si>
  <si>
    <t>pRec/ProtoP/Charged</t>
  </si>
  <si>
    <t>pRec/ProtoP/Neutral</t>
  </si>
  <si>
    <t>PackedRecVertex</t>
  </si>
  <si>
    <t>pRec/Vertex/Primary</t>
  </si>
  <si>
    <t>PackedTwoProngVertex</t>
  </si>
  <si>
    <t>pRec/Vertex/V0</t>
  </si>
  <si>
    <t>FSR</t>
  </si>
  <si>
    <t>LumiFSR</t>
  </si>
  <si>
    <t>LumiIntegral</t>
  </si>
  <si>
    <t>Gaudi::Counter</t>
  </si>
  <si>
    <t>Gaudi::Counters</t>
  </si>
  <si>
    <t>PackedMCCaloHit</t>
  </si>
  <si>
    <t>PackedMCHit</t>
  </si>
  <si>
    <t>PackedMCRichDigitSummary</t>
  </si>
  <si>
    <t>PackedMCRichHit</t>
  </si>
  <si>
    <t>PackedMCRichOpticalPhoton</t>
  </si>
  <si>
    <t>PackedMCRichSegment</t>
  </si>
  <si>
    <t>PackedMCRichTrack</t>
  </si>
  <si>
    <t>pSim/&lt;Det&gt;/Hits</t>
  </si>
  <si>
    <t xml:space="preserve">   pSim/Rich/DigitSummaries</t>
  </si>
  <si>
    <t>pSim/Rich/Hits</t>
  </si>
  <si>
    <t>pSim/Rich/OpticalPhotons</t>
  </si>
  <si>
    <t>pSim/Rich/Segments</t>
  </si>
  <si>
    <t>pSim/Rich/Tracks</t>
  </si>
  <si>
    <t>Hlt/Vertex/PV2D</t>
  </si>
  <si>
    <t>Hlt/Vertex/PV3D</t>
  </si>
  <si>
    <t>EventCountFSR</t>
  </si>
  <si>
    <t>VeloPix</t>
  </si>
  <si>
    <t>MCVeloPixDeposit</t>
  </si>
  <si>
    <t>MCVeloPixDigit</t>
  </si>
  <si>
    <t>VeloPixDigit</t>
  </si>
  <si>
    <t>VeloPixCluster</t>
  </si>
  <si>
    <t>MC/VeloPix/Deposits</t>
  </si>
  <si>
    <t>MC/VeloPix/Digits</t>
  </si>
  <si>
    <t>Raw/VeloPix/Digits</t>
  </si>
  <si>
    <t>Rec/VeloPix/Clusters</t>
  </si>
  <si>
    <t>LumiCounters</t>
  </si>
  <si>
    <t>TimeSpanFSR</t>
  </si>
  <si>
    <t>LumiMethods</t>
  </si>
  <si>
    <t>MuonCluster</t>
  </si>
  <si>
    <t>Raw/Muon/Cluster</t>
  </si>
  <si>
    <t>Hlt::Candidate</t>
  </si>
  <si>
    <t>Hlt::Stage</t>
  </si>
  <si>
    <t>Hlt::L0DUMuon</t>
  </si>
  <si>
    <t>Hlt::MultiTrack</t>
  </si>
  <si>
    <t>WeightsVector</t>
  </si>
  <si>
    <t>Rec/Vertex/Weights</t>
  </si>
  <si>
    <t>PackedWeightsVector</t>
  </si>
  <si>
    <t>pRec/Vertex/Weights</t>
  </si>
  <si>
    <t>Gaudi::Numbers</t>
  </si>
  <si>
    <t>RecSummary</t>
  </si>
  <si>
    <t>Rec/Summary</t>
  </si>
  <si>
    <t>Bcm</t>
  </si>
  <si>
    <t>MCBcmDigit</t>
  </si>
  <si>
    <t>MC/Bcm/Digits</t>
  </si>
  <si>
    <t>BcmDigit</t>
  </si>
  <si>
    <t>Raw/Bcm/Digits</t>
  </si>
  <si>
    <t>Particle2LHCbIDs</t>
  </si>
  <si>
    <t>Particle2VertexBase</t>
  </si>
  <si>
    <t>Particle2UnsignedInts</t>
  </si>
  <si>
    <t>BeamParameters</t>
  </si>
  <si>
    <t>SwimmingReport</t>
  </si>
  <si>
    <t>TurningPoint</t>
  </si>
  <si>
    <t>Swimming/Reports</t>
  </si>
  <si>
    <t>PackedDecReport</t>
  </si>
  <si>
    <t>PackedRelations</t>
  </si>
  <si>
    <t>pStrip/Phys/DecReports</t>
  </si>
  <si>
    <t>PackedParticle</t>
  </si>
  <si>
    <t>PackedVertex</t>
  </si>
  <si>
    <t>PackedRichPIDs</t>
  </si>
  <si>
    <t>PackedMuonPIDs</t>
  </si>
  <si>
    <t>pRec/Muon/MuonPID</t>
  </si>
  <si>
    <t>pRec/Rich/PIDs</t>
  </si>
  <si>
    <t>pPhys/Relations</t>
  </si>
  <si>
    <t>pPhys/Particles</t>
  </si>
  <si>
    <t>pPhys/User/Particles</t>
  </si>
  <si>
    <t>pPhys/Vertices</t>
  </si>
  <si>
    <t>pPhys/User/Vertices</t>
  </si>
  <si>
    <t>PackedParticle2Ints</t>
  </si>
  <si>
    <t>pPhys/Particle2Int</t>
  </si>
  <si>
    <t>PackedCaloCluster</t>
  </si>
  <si>
    <t>PackedCluster</t>
  </si>
  <si>
    <t xml:space="preserve">   pRec/Track/Clusters</t>
  </si>
  <si>
    <t xml:space="preserve">   pRec/Calo/Cluster</t>
  </si>
  <si>
    <t>PackedFlavourTag</t>
  </si>
  <si>
    <t>pPhys/FlavourTags</t>
  </si>
  <si>
    <t>PackedRelatedInfoRelations</t>
  </si>
  <si>
    <t>pPhys/PartToRelatedInfoRelations</t>
  </si>
  <si>
    <t>pPhys/User/PartToRelatedInfoRelations</t>
  </si>
  <si>
    <t>Herschel</t>
  </si>
  <si>
    <t>HCDigit</t>
  </si>
  <si>
    <t>Raw/HC/Digits</t>
  </si>
  <si>
    <t>Raw/HC/L0Digits</t>
  </si>
  <si>
    <t>PackedWeightRelations</t>
  </si>
  <si>
    <t>GenCountersFSR</t>
  </si>
  <si>
    <t>GenFSR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</si>
</sst>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  <numFmt numFmtId="188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/>
    </xf>
    <xf numFmtId="187" fontId="0" fillId="0" borderId="0" xfId="0" applyNumberFormat="1" applyFont="1" applyAlignment="1">
      <alignment/>
    </xf>
    <xf numFmtId="187" fontId="0" fillId="0" borderId="11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top" indent="1"/>
    </xf>
    <xf numFmtId="0" fontId="0" fillId="0" borderId="0" xfId="0" applyFont="1" applyAlignment="1">
      <alignment horizontal="left" indent="1"/>
    </xf>
    <xf numFmtId="0" fontId="0" fillId="0" borderId="10" xfId="0" applyBorder="1" applyAlignment="1">
      <alignment horizontal="left" vertical="top" indent="1"/>
    </xf>
    <xf numFmtId="1" fontId="0" fillId="0" borderId="13" xfId="0" applyNumberForma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3" xfId="0" applyFont="1" applyBorder="1" applyAlignment="1">
      <alignment horizontal="left" vertical="top" indent="1"/>
    </xf>
    <xf numFmtId="1" fontId="0" fillId="0" borderId="13" xfId="0" applyNumberFormat="1" applyFont="1" applyBorder="1" applyAlignment="1">
      <alignment/>
    </xf>
    <xf numFmtId="0" fontId="0" fillId="0" borderId="0" xfId="0" applyBorder="1" applyAlignment="1">
      <alignment horizontal="left" indent="1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left" indent="1"/>
    </xf>
    <xf numFmtId="1" fontId="0" fillId="0" borderId="0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1"/>
  <sheetViews>
    <sheetView tabSelected="1" zoomScalePageLayoutView="0" workbookViewId="0" topLeftCell="A238">
      <selection activeCell="E255" sqref="E255"/>
    </sheetView>
  </sheetViews>
  <sheetFormatPr defaultColWidth="9.140625" defaultRowHeight="12.75"/>
  <cols>
    <col min="1" max="1" width="1.421875" style="2" customWidth="1"/>
    <col min="2" max="2" width="12.140625" style="25" customWidth="1"/>
    <col min="3" max="3" width="30.28125" style="19" customWidth="1"/>
    <col min="4" max="4" width="11.140625" style="15" customWidth="1"/>
    <col min="5" max="5" width="35.140625" style="19" customWidth="1"/>
    <col min="6" max="6" width="9.140625" style="1" customWidth="1"/>
    <col min="7" max="7" width="9.140625" style="2" customWidth="1"/>
    <col min="8" max="8" width="16.421875" style="1" customWidth="1"/>
    <col min="9" max="9" width="9.140625" style="1" customWidth="1"/>
    <col min="10" max="10" width="9.140625" style="2" customWidth="1"/>
    <col min="11" max="12" width="9.00390625" style="1" customWidth="1"/>
    <col min="13" max="13" width="9.140625" style="2" customWidth="1"/>
    <col min="14" max="14" width="9.140625" style="10" customWidth="1"/>
    <col min="15" max="15" width="9.140625" style="1" customWidth="1"/>
    <col min="16" max="16" width="9.140625" style="8" customWidth="1"/>
    <col min="17" max="16384" width="9.140625" style="1" customWidth="1"/>
  </cols>
  <sheetData>
    <row r="1" spans="1:13" ht="12.75">
      <c r="A1" s="3"/>
      <c r="B1" s="36" t="s">
        <v>275</v>
      </c>
      <c r="C1" s="26"/>
      <c r="D1" s="7"/>
      <c r="E1" s="26"/>
      <c r="G1" s="3"/>
      <c r="J1" s="3"/>
      <c r="M1" s="3"/>
    </row>
    <row r="2" spans="1:13" ht="12.75">
      <c r="A2" s="3"/>
      <c r="B2" s="26"/>
      <c r="C2" s="26"/>
      <c r="D2" s="7"/>
      <c r="E2" s="26"/>
      <c r="G2" s="3"/>
      <c r="J2" s="3"/>
      <c r="M2" s="3"/>
    </row>
    <row r="3" spans="2:17" ht="12.75">
      <c r="B3" s="14" t="s">
        <v>0</v>
      </c>
      <c r="C3" s="19" t="s">
        <v>1</v>
      </c>
      <c r="D3" s="31" t="s">
        <v>104</v>
      </c>
      <c r="E3" s="20" t="s">
        <v>152</v>
      </c>
      <c r="F3" s="53" t="s">
        <v>98</v>
      </c>
      <c r="G3" s="54"/>
      <c r="H3" s="55" t="s">
        <v>74</v>
      </c>
      <c r="I3" s="55"/>
      <c r="J3" s="56"/>
      <c r="K3" s="1" t="s">
        <v>92</v>
      </c>
      <c r="N3" s="57" t="s">
        <v>96</v>
      </c>
      <c r="O3" s="58"/>
      <c r="P3" s="58"/>
      <c r="Q3" s="58"/>
    </row>
    <row r="4" spans="1:17" s="4" customFormat="1" ht="13.5" thickBot="1">
      <c r="A4" s="2"/>
      <c r="B4" s="27"/>
      <c r="C4" s="24"/>
      <c r="D4" s="16"/>
      <c r="E4" s="21"/>
      <c r="F4" s="4" t="s">
        <v>2</v>
      </c>
      <c r="G4" s="5" t="s">
        <v>3</v>
      </c>
      <c r="I4" s="4" t="s">
        <v>2</v>
      </c>
      <c r="J4" s="5" t="s">
        <v>3</v>
      </c>
      <c r="K4" s="4" t="s">
        <v>2</v>
      </c>
      <c r="L4" s="4" t="s">
        <v>3</v>
      </c>
      <c r="M4" s="5"/>
      <c r="N4" s="11" t="s">
        <v>93</v>
      </c>
      <c r="O4" s="6" t="s">
        <v>94</v>
      </c>
      <c r="P4" s="9" t="s">
        <v>2</v>
      </c>
      <c r="Q4" s="4" t="s">
        <v>3</v>
      </c>
    </row>
    <row r="5" spans="2:15" ht="12.75">
      <c r="B5" s="33" t="s">
        <v>230</v>
      </c>
      <c r="C5" s="20" t="s">
        <v>231</v>
      </c>
      <c r="D5" s="18" t="s">
        <v>232</v>
      </c>
      <c r="O5" t="s">
        <v>18</v>
      </c>
    </row>
    <row r="6" ht="12.75">
      <c r="O6"/>
    </row>
    <row r="7" spans="2:16" ht="12.75">
      <c r="B7" s="28" t="s">
        <v>13</v>
      </c>
      <c r="C7" s="19" t="s">
        <v>14</v>
      </c>
      <c r="D7" s="15">
        <v>101</v>
      </c>
      <c r="E7" s="20" t="s">
        <v>191</v>
      </c>
      <c r="F7" s="1">
        <f>4+4+8+Overheads!B3</f>
        <v>20</v>
      </c>
      <c r="G7" s="2">
        <v>20</v>
      </c>
      <c r="K7" s="1">
        <v>1</v>
      </c>
      <c r="L7" s="1">
        <v>1</v>
      </c>
      <c r="N7" s="10">
        <v>1</v>
      </c>
      <c r="O7" s="1">
        <v>0</v>
      </c>
      <c r="P7" s="8">
        <f>K7*N7*F7+O7</f>
        <v>20</v>
      </c>
    </row>
    <row r="8" spans="2:16" ht="12.75">
      <c r="B8" s="28"/>
      <c r="C8" s="19" t="s">
        <v>15</v>
      </c>
      <c r="D8" s="15">
        <v>102</v>
      </c>
      <c r="E8" s="22" t="s">
        <v>105</v>
      </c>
      <c r="F8" s="1">
        <f>4+4+Overheads!B3</f>
        <v>12</v>
      </c>
      <c r="G8" s="2">
        <v>12</v>
      </c>
      <c r="K8" s="1">
        <v>1</v>
      </c>
      <c r="L8" s="1">
        <v>1</v>
      </c>
      <c r="N8" s="10">
        <v>1</v>
      </c>
      <c r="O8" s="1">
        <v>0</v>
      </c>
      <c r="P8" s="8">
        <f>K8*N8*F8+O8</f>
        <v>12</v>
      </c>
    </row>
    <row r="9" spans="2:5" ht="12.75">
      <c r="B9" s="28"/>
      <c r="C9" s="20" t="s">
        <v>235</v>
      </c>
      <c r="D9" s="15">
        <v>103</v>
      </c>
      <c r="E9" s="22" t="s">
        <v>237</v>
      </c>
    </row>
    <row r="10" spans="2:5" ht="12.75">
      <c r="B10" s="28"/>
      <c r="C10" s="20" t="s">
        <v>236</v>
      </c>
      <c r="D10" s="15">
        <v>104</v>
      </c>
      <c r="E10" s="22" t="s">
        <v>238</v>
      </c>
    </row>
    <row r="11" spans="2:5" ht="12.75">
      <c r="B11" s="28"/>
      <c r="C11" s="20" t="s">
        <v>240</v>
      </c>
      <c r="D11" s="15">
        <v>105</v>
      </c>
      <c r="E11" s="22" t="s">
        <v>239</v>
      </c>
    </row>
    <row r="12" spans="2:5" ht="12.75">
      <c r="B12" s="28"/>
      <c r="C12" s="20" t="s">
        <v>376</v>
      </c>
      <c r="D12" s="15">
        <v>106</v>
      </c>
      <c r="E12" s="22" t="s">
        <v>377</v>
      </c>
    </row>
    <row r="13" spans="2:5" ht="12.75">
      <c r="B13" s="28"/>
      <c r="C13" s="20"/>
      <c r="E13" s="22"/>
    </row>
    <row r="14" spans="2:5" ht="12.75">
      <c r="B14" s="28"/>
      <c r="C14" s="20" t="s">
        <v>335</v>
      </c>
      <c r="D14" s="15">
        <v>150</v>
      </c>
      <c r="E14" s="22"/>
    </row>
    <row r="15" spans="2:5" ht="12.75">
      <c r="B15" s="28"/>
      <c r="C15" s="20" t="s">
        <v>336</v>
      </c>
      <c r="D15" s="15">
        <v>151</v>
      </c>
      <c r="E15" s="22"/>
    </row>
    <row r="16" spans="2:5" ht="12.75">
      <c r="B16" s="28"/>
      <c r="C16" s="20" t="s">
        <v>375</v>
      </c>
      <c r="D16" s="15">
        <v>152</v>
      </c>
      <c r="E16" s="22"/>
    </row>
    <row r="17" spans="2:5" ht="12.75">
      <c r="B17" s="28"/>
      <c r="E17" s="22"/>
    </row>
    <row r="18" spans="2:5" ht="12.75">
      <c r="B18" s="30" t="s">
        <v>230</v>
      </c>
      <c r="C18" s="20" t="s">
        <v>21</v>
      </c>
      <c r="D18" s="15">
        <v>190</v>
      </c>
      <c r="E18" s="22"/>
    </row>
    <row r="20" spans="2:4" ht="12.75">
      <c r="B20" s="28" t="s">
        <v>16</v>
      </c>
      <c r="C20" s="20" t="s">
        <v>386</v>
      </c>
      <c r="D20" s="15">
        <v>200</v>
      </c>
    </row>
    <row r="21" spans="2:16" ht="12.75">
      <c r="B21" s="1"/>
      <c r="C21" s="19" t="s">
        <v>17</v>
      </c>
      <c r="D21" s="15">
        <v>201</v>
      </c>
      <c r="E21" s="22" t="s">
        <v>191</v>
      </c>
      <c r="F21" s="1">
        <f>Overheads!B5+1+4+Overheads!B12+Overheads!B11</f>
        <v>26</v>
      </c>
      <c r="K21" s="1">
        <v>1.4</v>
      </c>
      <c r="N21" s="10">
        <v>1</v>
      </c>
      <c r="O21" s="1">
        <v>0</v>
      </c>
      <c r="P21" s="8">
        <f>K21*N21*F21+O21</f>
        <v>36.4</v>
      </c>
    </row>
    <row r="22" spans="2:5" ht="12.75">
      <c r="B22" s="28"/>
      <c r="C22" s="20" t="s">
        <v>196</v>
      </c>
      <c r="D22" s="15">
        <v>202</v>
      </c>
      <c r="E22" s="22" t="s">
        <v>157</v>
      </c>
    </row>
    <row r="23" spans="2:5" ht="12.75">
      <c r="B23" s="28"/>
      <c r="C23" s="20" t="s">
        <v>197</v>
      </c>
      <c r="D23" s="15">
        <v>203</v>
      </c>
      <c r="E23" s="22" t="s">
        <v>191</v>
      </c>
    </row>
    <row r="24" spans="2:5" ht="12.75">
      <c r="B24" s="28"/>
      <c r="C24" s="20" t="s">
        <v>195</v>
      </c>
      <c r="D24" s="15">
        <v>204</v>
      </c>
      <c r="E24" s="22" t="s">
        <v>106</v>
      </c>
    </row>
    <row r="25" spans="2:16" ht="12.75">
      <c r="B25" s="28"/>
      <c r="C25" s="19" t="s">
        <v>18</v>
      </c>
      <c r="D25" s="17">
        <v>210</v>
      </c>
      <c r="E25" s="23" t="s">
        <v>107</v>
      </c>
      <c r="F25" s="1">
        <f>Overheads!B5+Overheads!B14+Overheads!B21+1+Overheads!B10+Overheads!B11+Overheads!B11+(Overheads!B6+I25*Overheads!B11)</f>
        <v>108</v>
      </c>
      <c r="H25" s="1" t="s">
        <v>62</v>
      </c>
      <c r="I25" s="1">
        <v>1</v>
      </c>
      <c r="K25" s="1">
        <v>1000</v>
      </c>
      <c r="N25" s="10">
        <v>0.3</v>
      </c>
      <c r="O25" s="1">
        <v>0</v>
      </c>
      <c r="P25" s="8">
        <f>K25*N25*F25+O25</f>
        <v>32400</v>
      </c>
    </row>
    <row r="26" spans="2:5" ht="12.75">
      <c r="B26" s="28"/>
      <c r="C26" s="20" t="s">
        <v>198</v>
      </c>
      <c r="D26" s="17">
        <v>211</v>
      </c>
      <c r="E26" s="22" t="s">
        <v>191</v>
      </c>
    </row>
    <row r="27" spans="2:16" ht="12.75">
      <c r="B27" s="28"/>
      <c r="C27" s="19" t="s">
        <v>19</v>
      </c>
      <c r="D27" s="17">
        <v>220</v>
      </c>
      <c r="E27" s="23" t="s">
        <v>108</v>
      </c>
      <c r="F27" s="1">
        <f>Overheads!B5+Overheads!B12+Overheads!B10+4+Overheads!B11+Overheads!B11+(Overheads!B6+I27*Overheads!B11)</f>
        <v>53</v>
      </c>
      <c r="H27" s="1" t="s">
        <v>63</v>
      </c>
      <c r="I27" s="1">
        <v>3</v>
      </c>
      <c r="K27" s="1">
        <v>300</v>
      </c>
      <c r="N27" s="10">
        <v>0.3</v>
      </c>
      <c r="O27" s="1">
        <v>0</v>
      </c>
      <c r="P27" s="8">
        <f>K27*N27*F27+O27</f>
        <v>4770</v>
      </c>
    </row>
    <row r="28" spans="2:16" ht="12.75">
      <c r="B28" s="28"/>
      <c r="C28" s="19" t="s">
        <v>37</v>
      </c>
      <c r="D28" s="17">
        <v>230</v>
      </c>
      <c r="E28" s="22" t="s">
        <v>257</v>
      </c>
      <c r="F28" s="1">
        <f>Overheads!B5+2*Overheads!B12+2*Overheads!B10+Overheads!B11</f>
        <v>41</v>
      </c>
      <c r="K28" s="1">
        <f>K195</f>
        <v>3578</v>
      </c>
      <c r="N28" s="10">
        <v>0</v>
      </c>
      <c r="O28" s="1">
        <v>0</v>
      </c>
      <c r="P28" s="8">
        <f>K28*N28*F28+O28</f>
        <v>0</v>
      </c>
    </row>
    <row r="29" spans="2:5" ht="12.75">
      <c r="B29" s="28"/>
      <c r="C29" s="20" t="s">
        <v>276</v>
      </c>
      <c r="D29" s="17">
        <v>231</v>
      </c>
      <c r="E29" s="22" t="s">
        <v>257</v>
      </c>
    </row>
    <row r="30" spans="2:5" ht="12.75">
      <c r="B30" s="28"/>
      <c r="C30" s="20" t="s">
        <v>281</v>
      </c>
      <c r="D30" s="17">
        <v>232</v>
      </c>
      <c r="E30" s="22" t="s">
        <v>282</v>
      </c>
    </row>
    <row r="31" spans="2:5" ht="12.75">
      <c r="B31" s="33" t="s">
        <v>168</v>
      </c>
      <c r="C31" s="20" t="s">
        <v>121</v>
      </c>
      <c r="D31" s="15">
        <v>240</v>
      </c>
      <c r="E31" s="20" t="s">
        <v>191</v>
      </c>
    </row>
    <row r="32" spans="3:5" ht="12.75">
      <c r="C32" s="20" t="s">
        <v>133</v>
      </c>
      <c r="D32" s="15">
        <v>241</v>
      </c>
      <c r="E32" s="20" t="s">
        <v>191</v>
      </c>
    </row>
    <row r="33" spans="3:5" ht="12.75">
      <c r="C33" s="20" t="s">
        <v>201</v>
      </c>
      <c r="D33" s="15">
        <v>250</v>
      </c>
      <c r="E33" s="20" t="s">
        <v>274</v>
      </c>
    </row>
    <row r="34" spans="3:5" ht="12.75">
      <c r="C34" s="20"/>
      <c r="E34" s="20"/>
    </row>
    <row r="35" spans="3:5" ht="12.75">
      <c r="C35" s="20" t="s">
        <v>280</v>
      </c>
      <c r="D35" s="15">
        <v>299</v>
      </c>
      <c r="E35" s="20"/>
    </row>
    <row r="36" spans="3:5" ht="12.75">
      <c r="C36" s="20" t="s">
        <v>184</v>
      </c>
      <c r="D36" s="15">
        <v>300</v>
      </c>
      <c r="E36" s="20" t="s">
        <v>185</v>
      </c>
    </row>
    <row r="37" spans="3:5" ht="12.75">
      <c r="C37" s="20" t="s">
        <v>186</v>
      </c>
      <c r="D37" s="15">
        <v>400</v>
      </c>
      <c r="E37" s="20" t="s">
        <v>187</v>
      </c>
    </row>
    <row r="38" spans="3:5" ht="12.75">
      <c r="C38" s="20" t="s">
        <v>243</v>
      </c>
      <c r="D38" s="15">
        <v>500</v>
      </c>
      <c r="E38" s="20" t="s">
        <v>191</v>
      </c>
    </row>
    <row r="39" spans="1:16" s="3" customFormat="1" ht="12.75">
      <c r="A39" s="2"/>
      <c r="B39" s="28"/>
      <c r="C39" s="19"/>
      <c r="D39" s="15"/>
      <c r="E39" s="19"/>
      <c r="G39" s="2"/>
      <c r="J39" s="2"/>
      <c r="M39" s="2"/>
      <c r="N39" s="12"/>
      <c r="P39" s="7"/>
    </row>
    <row r="40" spans="1:16" s="3" customFormat="1" ht="12.75">
      <c r="A40" s="2"/>
      <c r="B40" s="30" t="s">
        <v>116</v>
      </c>
      <c r="C40" s="23" t="s">
        <v>117</v>
      </c>
      <c r="D40" s="15">
        <v>801</v>
      </c>
      <c r="E40" s="23" t="s">
        <v>146</v>
      </c>
      <c r="G40" s="2"/>
      <c r="J40" s="2"/>
      <c r="M40" s="2"/>
      <c r="N40" s="12"/>
      <c r="P40" s="7"/>
    </row>
    <row r="41" spans="1:16" s="3" customFormat="1" ht="12.75">
      <c r="A41" s="2"/>
      <c r="B41" s="30"/>
      <c r="C41" s="23"/>
      <c r="D41" s="15"/>
      <c r="E41" s="23" t="s">
        <v>147</v>
      </c>
      <c r="G41" s="2"/>
      <c r="J41" s="2"/>
      <c r="M41" s="2"/>
      <c r="N41" s="12"/>
      <c r="P41" s="7"/>
    </row>
    <row r="42" spans="1:16" s="3" customFormat="1" ht="12.75">
      <c r="A42" s="2"/>
      <c r="B42" s="28"/>
      <c r="C42" s="23" t="s">
        <v>118</v>
      </c>
      <c r="D42" s="15">
        <v>802</v>
      </c>
      <c r="E42" s="23" t="s">
        <v>148</v>
      </c>
      <c r="G42" s="2"/>
      <c r="J42" s="2"/>
      <c r="M42" s="2"/>
      <c r="N42" s="12"/>
      <c r="P42" s="7"/>
    </row>
    <row r="43" spans="1:16" s="3" customFormat="1" ht="12.75">
      <c r="A43" s="2"/>
      <c r="B43" s="28"/>
      <c r="C43" s="23"/>
      <c r="D43" s="15"/>
      <c r="E43" s="23" t="s">
        <v>149</v>
      </c>
      <c r="G43" s="2"/>
      <c r="J43" s="2"/>
      <c r="M43" s="2"/>
      <c r="N43" s="12"/>
      <c r="P43" s="7"/>
    </row>
    <row r="44" spans="1:16" s="3" customFormat="1" ht="12.75">
      <c r="A44" s="2"/>
      <c r="B44" s="28"/>
      <c r="C44" s="23"/>
      <c r="D44" s="15"/>
      <c r="E44" s="22" t="s">
        <v>150</v>
      </c>
      <c r="G44" s="2"/>
      <c r="J44" s="2"/>
      <c r="M44" s="2"/>
      <c r="N44" s="12"/>
      <c r="P44" s="7"/>
    </row>
    <row r="45" spans="1:16" s="3" customFormat="1" ht="12.75">
      <c r="A45" s="2"/>
      <c r="B45" s="28"/>
      <c r="C45" s="22" t="s">
        <v>159</v>
      </c>
      <c r="D45" s="15">
        <v>803</v>
      </c>
      <c r="E45" s="22" t="s">
        <v>160</v>
      </c>
      <c r="G45" s="2"/>
      <c r="J45" s="2"/>
      <c r="M45" s="2"/>
      <c r="N45" s="12"/>
      <c r="P45" s="7"/>
    </row>
    <row r="46" spans="1:16" s="3" customFormat="1" ht="12.75">
      <c r="A46" s="2"/>
      <c r="B46" s="28"/>
      <c r="C46" s="22"/>
      <c r="D46" s="15"/>
      <c r="E46" s="22" t="s">
        <v>161</v>
      </c>
      <c r="G46" s="2"/>
      <c r="J46" s="2"/>
      <c r="M46" s="2"/>
      <c r="N46" s="12"/>
      <c r="P46" s="7"/>
    </row>
    <row r="47" spans="1:16" s="3" customFormat="1" ht="12.75">
      <c r="A47" s="2"/>
      <c r="B47" s="28"/>
      <c r="C47" s="22"/>
      <c r="D47" s="15"/>
      <c r="E47" s="22" t="s">
        <v>162</v>
      </c>
      <c r="G47" s="2"/>
      <c r="J47" s="2"/>
      <c r="M47" s="2"/>
      <c r="N47" s="12"/>
      <c r="P47" s="7"/>
    </row>
    <row r="48" spans="1:16" s="3" customFormat="1" ht="12.75">
      <c r="A48" s="2"/>
      <c r="B48" s="28"/>
      <c r="C48" s="22" t="s">
        <v>158</v>
      </c>
      <c r="D48" s="15">
        <v>804</v>
      </c>
      <c r="E48" s="22" t="s">
        <v>191</v>
      </c>
      <c r="G48" s="2"/>
      <c r="J48" s="2"/>
      <c r="M48" s="2"/>
      <c r="N48" s="12"/>
      <c r="P48" s="7"/>
    </row>
    <row r="49" spans="1:16" s="3" customFormat="1" ht="12.75">
      <c r="A49" s="2"/>
      <c r="B49" s="28"/>
      <c r="C49" s="22" t="s">
        <v>163</v>
      </c>
      <c r="D49" s="15">
        <v>805</v>
      </c>
      <c r="E49" s="22" t="s">
        <v>164</v>
      </c>
      <c r="G49" s="2"/>
      <c r="J49" s="2"/>
      <c r="M49" s="2"/>
      <c r="N49" s="12"/>
      <c r="P49" s="7"/>
    </row>
    <row r="50" spans="1:16" s="3" customFormat="1" ht="12.75">
      <c r="A50" s="2"/>
      <c r="B50" s="28"/>
      <c r="C50" s="22"/>
      <c r="D50" s="15"/>
      <c r="E50" s="22" t="s">
        <v>165</v>
      </c>
      <c r="G50" s="2"/>
      <c r="J50" s="2"/>
      <c r="M50" s="2"/>
      <c r="N50" s="12"/>
      <c r="P50" s="7"/>
    </row>
    <row r="51" spans="1:16" s="3" customFormat="1" ht="12.75">
      <c r="A51" s="2"/>
      <c r="B51" s="28"/>
      <c r="C51" s="22" t="s">
        <v>173</v>
      </c>
      <c r="D51" s="15">
        <v>806</v>
      </c>
      <c r="E51" s="22" t="s">
        <v>191</v>
      </c>
      <c r="G51" s="2"/>
      <c r="J51" s="2"/>
      <c r="M51" s="2"/>
      <c r="N51" s="12"/>
      <c r="P51" s="7"/>
    </row>
    <row r="52" spans="1:16" s="3" customFormat="1" ht="12.75">
      <c r="A52" s="2"/>
      <c r="B52" s="28"/>
      <c r="C52" s="23" t="s">
        <v>119</v>
      </c>
      <c r="D52" s="15">
        <v>810</v>
      </c>
      <c r="E52" s="20" t="s">
        <v>191</v>
      </c>
      <c r="G52" s="2"/>
      <c r="J52" s="2"/>
      <c r="M52" s="2"/>
      <c r="N52" s="12"/>
      <c r="P52" s="7"/>
    </row>
    <row r="53" spans="1:16" s="3" customFormat="1" ht="12.75">
      <c r="A53" s="2"/>
      <c r="B53" s="28"/>
      <c r="C53" s="22" t="s">
        <v>246</v>
      </c>
      <c r="D53" s="15">
        <v>811</v>
      </c>
      <c r="E53" s="20"/>
      <c r="G53" s="2"/>
      <c r="J53" s="2"/>
      <c r="M53" s="2"/>
      <c r="N53" s="12"/>
      <c r="P53" s="7"/>
    </row>
    <row r="54" spans="1:16" s="3" customFormat="1" ht="12.75">
      <c r="A54" s="2"/>
      <c r="B54" s="34"/>
      <c r="C54" s="22" t="s">
        <v>193</v>
      </c>
      <c r="D54" s="35">
        <v>860</v>
      </c>
      <c r="E54" s="20" t="s">
        <v>194</v>
      </c>
      <c r="G54" s="2"/>
      <c r="J54" s="2"/>
      <c r="M54" s="2"/>
      <c r="N54" s="12"/>
      <c r="P54" s="7"/>
    </row>
    <row r="55" spans="1:16" s="3" customFormat="1" ht="12.75">
      <c r="A55" s="2"/>
      <c r="B55" s="28"/>
      <c r="C55" s="22" t="s">
        <v>219</v>
      </c>
      <c r="D55" s="15">
        <v>861</v>
      </c>
      <c r="E55" s="20" t="s">
        <v>220</v>
      </c>
      <c r="G55" s="2"/>
      <c r="J55" s="2"/>
      <c r="M55" s="2"/>
      <c r="N55" s="12"/>
      <c r="P55" s="7"/>
    </row>
    <row r="56" spans="1:16" s="3" customFormat="1" ht="12.75">
      <c r="A56" s="2"/>
      <c r="B56" s="28"/>
      <c r="C56" s="22" t="s">
        <v>200</v>
      </c>
      <c r="D56" s="15">
        <v>870</v>
      </c>
      <c r="E56" s="20" t="s">
        <v>191</v>
      </c>
      <c r="G56" s="2"/>
      <c r="J56" s="2"/>
      <c r="M56" s="2"/>
      <c r="N56" s="12"/>
      <c r="P56" s="7"/>
    </row>
    <row r="57" spans="1:16" s="3" customFormat="1" ht="12.75">
      <c r="A57" s="2"/>
      <c r="B57" s="28"/>
      <c r="C57" s="22" t="s">
        <v>383</v>
      </c>
      <c r="D57" s="15">
        <v>880</v>
      </c>
      <c r="E57" s="20"/>
      <c r="G57" s="2"/>
      <c r="J57" s="2"/>
      <c r="M57" s="2"/>
      <c r="N57" s="12"/>
      <c r="P57" s="7"/>
    </row>
    <row r="58" spans="1:16" s="3" customFormat="1" ht="12.75">
      <c r="A58" s="2"/>
      <c r="B58" s="28"/>
      <c r="C58" s="22" t="s">
        <v>384</v>
      </c>
      <c r="D58" s="15">
        <v>881</v>
      </c>
      <c r="E58" s="20"/>
      <c r="G58" s="2"/>
      <c r="J58" s="2"/>
      <c r="M58" s="2"/>
      <c r="N58" s="12"/>
      <c r="P58" s="7"/>
    </row>
    <row r="59" spans="1:16" s="3" customFormat="1" ht="12.75">
      <c r="A59" s="2"/>
      <c r="B59" s="28"/>
      <c r="C59" s="22" t="s">
        <v>385</v>
      </c>
      <c r="D59" s="15">
        <v>882</v>
      </c>
      <c r="E59" s="20"/>
      <c r="G59" s="2"/>
      <c r="J59" s="2"/>
      <c r="M59" s="2"/>
      <c r="N59" s="12"/>
      <c r="P59" s="7"/>
    </row>
    <row r="60" spans="1:16" s="3" customFormat="1" ht="12.75">
      <c r="A60" s="2"/>
      <c r="B60" s="28"/>
      <c r="C60" s="22"/>
      <c r="D60" s="15"/>
      <c r="E60" s="20"/>
      <c r="G60" s="2"/>
      <c r="J60" s="2"/>
      <c r="M60" s="2"/>
      <c r="N60" s="12"/>
      <c r="P60" s="7"/>
    </row>
    <row r="61" spans="1:16" s="3" customFormat="1" ht="12.75">
      <c r="A61" s="2"/>
      <c r="B61" s="28"/>
      <c r="C61" s="22" t="s">
        <v>387</v>
      </c>
      <c r="D61" s="15">
        <v>900</v>
      </c>
      <c r="E61" s="20" t="s">
        <v>389</v>
      </c>
      <c r="G61" s="2"/>
      <c r="J61" s="2"/>
      <c r="M61" s="2"/>
      <c r="N61" s="12"/>
      <c r="P61" s="7"/>
    </row>
    <row r="62" spans="1:16" s="3" customFormat="1" ht="12.75">
      <c r="A62" s="2"/>
      <c r="B62" s="28"/>
      <c r="C62" s="22" t="s">
        <v>388</v>
      </c>
      <c r="D62" s="15">
        <v>901</v>
      </c>
      <c r="E62" s="20"/>
      <c r="G62" s="2"/>
      <c r="J62" s="2"/>
      <c r="M62" s="2"/>
      <c r="N62" s="12"/>
      <c r="P62" s="7"/>
    </row>
    <row r="63" spans="1:16" s="3" customFormat="1" ht="12.75">
      <c r="A63" s="2"/>
      <c r="B63" s="28"/>
      <c r="C63" s="23"/>
      <c r="D63" s="15"/>
      <c r="E63" s="19"/>
      <c r="G63" s="2"/>
      <c r="J63" s="2"/>
      <c r="M63" s="2"/>
      <c r="N63" s="12"/>
      <c r="P63" s="7"/>
    </row>
    <row r="64" spans="1:16" s="3" customFormat="1" ht="12.75">
      <c r="A64" s="2"/>
      <c r="B64" s="30" t="s">
        <v>178</v>
      </c>
      <c r="C64" s="22" t="s">
        <v>221</v>
      </c>
      <c r="D64" s="15">
        <v>1001</v>
      </c>
      <c r="E64" s="20" t="s">
        <v>191</v>
      </c>
      <c r="G64" s="2"/>
      <c r="J64" s="2"/>
      <c r="M64" s="2"/>
      <c r="N64" s="12"/>
      <c r="P64" s="7"/>
    </row>
    <row r="65" spans="1:16" s="3" customFormat="1" ht="12.75">
      <c r="A65" s="2"/>
      <c r="B65" s="30"/>
      <c r="C65" s="22" t="s">
        <v>222</v>
      </c>
      <c r="D65" s="15">
        <v>1002</v>
      </c>
      <c r="E65" s="20" t="s">
        <v>223</v>
      </c>
      <c r="G65" s="2"/>
      <c r="J65" s="2"/>
      <c r="M65" s="2"/>
      <c r="N65" s="12"/>
      <c r="P65" s="7"/>
    </row>
    <row r="66" spans="1:16" s="3" customFormat="1" ht="12.75">
      <c r="A66" s="2"/>
      <c r="B66" s="30"/>
      <c r="C66" s="22" t="s">
        <v>180</v>
      </c>
      <c r="D66" s="15">
        <v>1003</v>
      </c>
      <c r="E66" s="20" t="s">
        <v>191</v>
      </c>
      <c r="G66" s="2"/>
      <c r="J66" s="2"/>
      <c r="M66" s="2"/>
      <c r="N66" s="12"/>
      <c r="P66" s="7"/>
    </row>
    <row r="67" spans="1:16" s="3" customFormat="1" ht="12.75">
      <c r="A67" s="2"/>
      <c r="B67" s="30"/>
      <c r="C67" s="22" t="s">
        <v>181</v>
      </c>
      <c r="D67" s="15">
        <v>1004</v>
      </c>
      <c r="E67" s="20" t="s">
        <v>191</v>
      </c>
      <c r="G67" s="2"/>
      <c r="J67" s="2"/>
      <c r="M67" s="2"/>
      <c r="N67" s="12"/>
      <c r="P67" s="7"/>
    </row>
    <row r="68" spans="1:16" s="3" customFormat="1" ht="12.75">
      <c r="A68" s="2"/>
      <c r="B68" s="30"/>
      <c r="C68" s="22" t="s">
        <v>278</v>
      </c>
      <c r="D68" s="15">
        <v>1005</v>
      </c>
      <c r="E68" s="20" t="s">
        <v>279</v>
      </c>
      <c r="G68" s="2"/>
      <c r="J68" s="2"/>
      <c r="M68" s="2"/>
      <c r="N68" s="12"/>
      <c r="P68" s="7"/>
    </row>
    <row r="69" spans="1:16" s="3" customFormat="1" ht="12.75">
      <c r="A69" s="2"/>
      <c r="B69" s="30"/>
      <c r="C69" s="22"/>
      <c r="D69" s="15"/>
      <c r="E69" s="20"/>
      <c r="G69" s="2"/>
      <c r="J69" s="2"/>
      <c r="M69" s="2"/>
      <c r="N69" s="12"/>
      <c r="P69" s="7"/>
    </row>
    <row r="70" spans="1:16" s="3" customFormat="1" ht="12.75">
      <c r="A70" s="2"/>
      <c r="B70" s="30" t="s">
        <v>213</v>
      </c>
      <c r="C70" s="22" t="s">
        <v>215</v>
      </c>
      <c r="D70" s="15">
        <v>1510</v>
      </c>
      <c r="E70" s="20" t="s">
        <v>224</v>
      </c>
      <c r="G70" s="2"/>
      <c r="J70" s="2"/>
      <c r="M70" s="2"/>
      <c r="N70" s="12"/>
      <c r="P70" s="7"/>
    </row>
    <row r="71" spans="1:16" s="3" customFormat="1" ht="12.75">
      <c r="A71" s="2"/>
      <c r="B71" s="30"/>
      <c r="C71" s="22" t="s">
        <v>216</v>
      </c>
      <c r="D71" s="15">
        <v>1511</v>
      </c>
      <c r="E71" s="20" t="s">
        <v>225</v>
      </c>
      <c r="G71" s="2"/>
      <c r="J71" s="2"/>
      <c r="M71" s="2"/>
      <c r="N71" s="12"/>
      <c r="P71" s="7"/>
    </row>
    <row r="72" spans="1:16" s="3" customFormat="1" ht="12.75">
      <c r="A72" s="2"/>
      <c r="B72" s="30"/>
      <c r="C72" s="22" t="s">
        <v>217</v>
      </c>
      <c r="D72" s="15">
        <v>1512</v>
      </c>
      <c r="E72" s="20" t="s">
        <v>226</v>
      </c>
      <c r="G72" s="2"/>
      <c r="J72" s="2"/>
      <c r="M72" s="2"/>
      <c r="N72" s="12"/>
      <c r="P72" s="7"/>
    </row>
    <row r="73" spans="1:16" s="3" customFormat="1" ht="12.75">
      <c r="A73" s="2"/>
      <c r="B73" s="30"/>
      <c r="C73" s="22" t="s">
        <v>340</v>
      </c>
      <c r="D73" s="15">
        <v>1521</v>
      </c>
      <c r="E73" s="20" t="s">
        <v>346</v>
      </c>
      <c r="G73" s="2"/>
      <c r="J73" s="2"/>
      <c r="M73" s="2"/>
      <c r="N73" s="12"/>
      <c r="P73" s="7"/>
    </row>
    <row r="74" spans="1:16" s="3" customFormat="1" ht="12.75">
      <c r="A74" s="2"/>
      <c r="B74" s="30"/>
      <c r="C74" s="22" t="s">
        <v>341</v>
      </c>
      <c r="D74" s="15">
        <v>1522</v>
      </c>
      <c r="E74" s="20" t="s">
        <v>347</v>
      </c>
      <c r="G74" s="2"/>
      <c r="J74" s="2"/>
      <c r="M74" s="2"/>
      <c r="N74" s="12"/>
      <c r="P74" s="7"/>
    </row>
    <row r="75" spans="1:16" s="3" customFormat="1" ht="12.75">
      <c r="A75" s="2"/>
      <c r="B75" s="30"/>
      <c r="C75" s="22" t="s">
        <v>342</v>
      </c>
      <c r="D75" s="15">
        <v>1523</v>
      </c>
      <c r="E75" s="20" t="s">
        <v>348</v>
      </c>
      <c r="G75" s="2"/>
      <c r="J75" s="2"/>
      <c r="M75" s="2"/>
      <c r="N75" s="12"/>
      <c r="P75" s="7"/>
    </row>
    <row r="76" spans="1:16" s="3" customFormat="1" ht="12.75">
      <c r="A76" s="2"/>
      <c r="B76" s="30"/>
      <c r="C76" s="22" t="s">
        <v>343</v>
      </c>
      <c r="D76" s="15">
        <v>1524</v>
      </c>
      <c r="E76" s="20" t="s">
        <v>349</v>
      </c>
      <c r="G76" s="2"/>
      <c r="J76" s="2"/>
      <c r="M76" s="2"/>
      <c r="N76" s="12"/>
      <c r="P76" s="7"/>
    </row>
    <row r="77" spans="1:16" s="3" customFormat="1" ht="12.75">
      <c r="A77" s="2"/>
      <c r="B77" s="30"/>
      <c r="C77" s="22" t="s">
        <v>338</v>
      </c>
      <c r="D77" s="15">
        <v>1525</v>
      </c>
      <c r="E77" s="20" t="s">
        <v>344</v>
      </c>
      <c r="G77" s="2"/>
      <c r="J77" s="2"/>
      <c r="M77" s="2"/>
      <c r="N77" s="12"/>
      <c r="P77" s="7"/>
    </row>
    <row r="78" spans="1:16" s="3" customFormat="1" ht="12.75">
      <c r="A78" s="2"/>
      <c r="B78" s="30"/>
      <c r="C78" s="22" t="s">
        <v>337</v>
      </c>
      <c r="D78" s="15">
        <v>1526</v>
      </c>
      <c r="E78" s="20" t="s">
        <v>344</v>
      </c>
      <c r="G78" s="2"/>
      <c r="J78" s="2"/>
      <c r="M78" s="2"/>
      <c r="N78" s="12"/>
      <c r="P78" s="7"/>
    </row>
    <row r="79" spans="1:16" s="3" customFormat="1" ht="12.75">
      <c r="A79" s="2"/>
      <c r="B79" s="30"/>
      <c r="C79" s="22" t="s">
        <v>339</v>
      </c>
      <c r="D79" s="15">
        <v>1527</v>
      </c>
      <c r="E79" s="51" t="s">
        <v>345</v>
      </c>
      <c r="G79" s="2"/>
      <c r="J79" s="2"/>
      <c r="M79" s="2"/>
      <c r="N79" s="12"/>
      <c r="P79" s="7"/>
    </row>
    <row r="80" spans="1:16" s="3" customFormat="1" ht="12.75">
      <c r="A80" s="2"/>
      <c r="B80" s="30"/>
      <c r="C80" s="22" t="s">
        <v>407</v>
      </c>
      <c r="D80" s="15">
        <v>1540</v>
      </c>
      <c r="E80" s="52" t="s">
        <v>408</v>
      </c>
      <c r="G80" s="2"/>
      <c r="J80" s="2"/>
      <c r="M80" s="2"/>
      <c r="N80" s="12"/>
      <c r="P80" s="7"/>
    </row>
    <row r="81" spans="1:16" s="3" customFormat="1" ht="12.75">
      <c r="A81" s="2"/>
      <c r="B81" s="30"/>
      <c r="C81" s="22" t="s">
        <v>406</v>
      </c>
      <c r="D81" s="15">
        <v>1541</v>
      </c>
      <c r="E81" s="52" t="s">
        <v>409</v>
      </c>
      <c r="G81" s="2"/>
      <c r="J81" s="2"/>
      <c r="M81" s="2"/>
      <c r="N81" s="12"/>
      <c r="P81" s="7"/>
    </row>
    <row r="82" spans="1:16" s="3" customFormat="1" ht="12.75">
      <c r="A82" s="2"/>
      <c r="B82" s="30"/>
      <c r="C82" s="22" t="s">
        <v>214</v>
      </c>
      <c r="D82" s="15">
        <v>1550</v>
      </c>
      <c r="E82" s="20" t="s">
        <v>318</v>
      </c>
      <c r="G82" s="2"/>
      <c r="J82" s="2"/>
      <c r="M82" s="2"/>
      <c r="N82" s="12"/>
      <c r="P82" s="7"/>
    </row>
    <row r="83" spans="1:16" s="3" customFormat="1" ht="12.75">
      <c r="A83" s="2"/>
      <c r="B83" s="30"/>
      <c r="C83" s="22"/>
      <c r="D83" s="15"/>
      <c r="E83" s="20" t="s">
        <v>319</v>
      </c>
      <c r="G83" s="2"/>
      <c r="J83" s="2"/>
      <c r="M83" s="2"/>
      <c r="N83" s="12"/>
      <c r="P83" s="7"/>
    </row>
    <row r="84" spans="1:16" s="3" customFormat="1" ht="12.75">
      <c r="A84" s="2"/>
      <c r="B84" s="30"/>
      <c r="C84" s="22" t="s">
        <v>320</v>
      </c>
      <c r="D84" s="15">
        <v>1551</v>
      </c>
      <c r="E84" s="20" t="s">
        <v>321</v>
      </c>
      <c r="G84" s="2"/>
      <c r="J84" s="2"/>
      <c r="M84" s="2"/>
      <c r="N84" s="12"/>
      <c r="P84" s="7"/>
    </row>
    <row r="85" spans="1:16" s="3" customFormat="1" ht="12.75">
      <c r="A85" s="2"/>
      <c r="B85" s="30"/>
      <c r="C85" s="22"/>
      <c r="D85" s="15"/>
      <c r="E85" s="20" t="s">
        <v>322</v>
      </c>
      <c r="G85" s="2"/>
      <c r="J85" s="2"/>
      <c r="M85" s="2"/>
      <c r="N85" s="12"/>
      <c r="P85" s="7"/>
    </row>
    <row r="86" spans="1:16" s="3" customFormat="1" ht="12.75">
      <c r="A86" s="2"/>
      <c r="B86" s="30"/>
      <c r="C86" s="22"/>
      <c r="D86" s="15"/>
      <c r="E86" s="20" t="s">
        <v>323</v>
      </c>
      <c r="G86" s="2"/>
      <c r="J86" s="2"/>
      <c r="M86" s="2"/>
      <c r="N86" s="12"/>
      <c r="P86" s="7"/>
    </row>
    <row r="87" spans="1:16" s="3" customFormat="1" ht="12.75">
      <c r="A87" s="2"/>
      <c r="B87" s="30"/>
      <c r="C87" s="22"/>
      <c r="D87" s="15"/>
      <c r="E87" s="20" t="s">
        <v>324</v>
      </c>
      <c r="G87" s="2"/>
      <c r="J87" s="2"/>
      <c r="M87" s="2"/>
      <c r="N87" s="12"/>
      <c r="P87" s="7"/>
    </row>
    <row r="88" spans="1:16" s="3" customFormat="1" ht="12.75">
      <c r="A88" s="2"/>
      <c r="B88" s="30"/>
      <c r="C88" s="22" t="s">
        <v>325</v>
      </c>
      <c r="D88" s="15">
        <v>1552</v>
      </c>
      <c r="E88" s="20" t="s">
        <v>326</v>
      </c>
      <c r="G88" s="2"/>
      <c r="J88" s="2"/>
      <c r="M88" s="2"/>
      <c r="N88" s="12"/>
      <c r="P88" s="7"/>
    </row>
    <row r="89" spans="1:16" s="3" customFormat="1" ht="12.75">
      <c r="A89" s="2"/>
      <c r="B89" s="30"/>
      <c r="C89" s="22"/>
      <c r="D89" s="15"/>
      <c r="E89" s="20" t="s">
        <v>327</v>
      </c>
      <c r="G89" s="2"/>
      <c r="J89" s="2"/>
      <c r="M89" s="2"/>
      <c r="N89" s="12"/>
      <c r="P89" s="7"/>
    </row>
    <row r="90" spans="1:16" s="3" customFormat="1" ht="12.75">
      <c r="A90" s="2"/>
      <c r="B90" s="30"/>
      <c r="C90" s="22" t="s">
        <v>328</v>
      </c>
      <c r="D90" s="15">
        <v>1553</v>
      </c>
      <c r="E90" s="20" t="s">
        <v>329</v>
      </c>
      <c r="G90" s="2"/>
      <c r="J90" s="2"/>
      <c r="M90" s="2"/>
      <c r="N90" s="12"/>
      <c r="P90" s="7"/>
    </row>
    <row r="91" spans="1:16" s="3" customFormat="1" ht="12.75">
      <c r="A91" s="2"/>
      <c r="B91" s="30"/>
      <c r="C91" s="22" t="s">
        <v>330</v>
      </c>
      <c r="D91" s="15">
        <v>1554</v>
      </c>
      <c r="E91" s="20" t="s">
        <v>331</v>
      </c>
      <c r="G91" s="2"/>
      <c r="J91" s="2"/>
      <c r="M91" s="2"/>
      <c r="N91" s="12"/>
      <c r="P91" s="7"/>
    </row>
    <row r="92" spans="1:16" s="3" customFormat="1" ht="12.75">
      <c r="A92" s="2"/>
      <c r="B92" s="30"/>
      <c r="C92" s="22" t="s">
        <v>373</v>
      </c>
      <c r="D92" s="15">
        <v>1555</v>
      </c>
      <c r="E92" s="20" t="s">
        <v>374</v>
      </c>
      <c r="G92" s="2"/>
      <c r="J92" s="2"/>
      <c r="M92" s="2"/>
      <c r="N92" s="12"/>
      <c r="P92" s="7"/>
    </row>
    <row r="93" spans="1:16" s="3" customFormat="1" ht="12.75">
      <c r="A93" s="2"/>
      <c r="B93" s="30"/>
      <c r="C93" s="22" t="s">
        <v>390</v>
      </c>
      <c r="D93" s="15">
        <v>1559</v>
      </c>
      <c r="E93" s="20" t="s">
        <v>392</v>
      </c>
      <c r="G93" s="2"/>
      <c r="J93" s="2"/>
      <c r="M93" s="2"/>
      <c r="N93" s="12"/>
      <c r="P93" s="7"/>
    </row>
    <row r="94" spans="1:16" s="3" customFormat="1" ht="12.75">
      <c r="A94" s="2"/>
      <c r="B94" s="30"/>
      <c r="C94" s="22" t="s">
        <v>391</v>
      </c>
      <c r="D94" s="15">
        <v>1560</v>
      </c>
      <c r="E94" s="20" t="s">
        <v>399</v>
      </c>
      <c r="G94" s="2"/>
      <c r="J94" s="2"/>
      <c r="M94" s="2"/>
      <c r="N94" s="12"/>
      <c r="P94" s="7"/>
    </row>
    <row r="95" spans="1:16" s="3" customFormat="1" ht="12.75">
      <c r="A95" s="2"/>
      <c r="B95" s="30"/>
      <c r="C95" s="22" t="s">
        <v>395</v>
      </c>
      <c r="D95" s="15">
        <v>1561</v>
      </c>
      <c r="E95" s="20" t="s">
        <v>398</v>
      </c>
      <c r="G95" s="2"/>
      <c r="J95" s="2"/>
      <c r="M95" s="2"/>
      <c r="N95" s="12"/>
      <c r="P95" s="7"/>
    </row>
    <row r="96" spans="1:16" s="3" customFormat="1" ht="12.75">
      <c r="A96" s="2"/>
      <c r="B96" s="30"/>
      <c r="C96" s="22" t="s">
        <v>419</v>
      </c>
      <c r="D96" s="15">
        <v>1562</v>
      </c>
      <c r="E96" s="20" t="s">
        <v>399</v>
      </c>
      <c r="G96" s="2"/>
      <c r="J96" s="2"/>
      <c r="M96" s="2"/>
      <c r="N96" s="12"/>
      <c r="P96" s="7"/>
    </row>
    <row r="97" spans="1:16" s="3" customFormat="1" ht="12.75">
      <c r="A97" s="2"/>
      <c r="B97" s="30"/>
      <c r="C97" s="22" t="s">
        <v>396</v>
      </c>
      <c r="D97" s="15">
        <v>1571</v>
      </c>
      <c r="E97" s="20" t="s">
        <v>397</v>
      </c>
      <c r="G97" s="2"/>
      <c r="J97" s="2"/>
      <c r="M97" s="2"/>
      <c r="N97" s="12"/>
      <c r="P97" s="7"/>
    </row>
    <row r="98" spans="1:16" s="3" customFormat="1" ht="12.75">
      <c r="A98" s="2"/>
      <c r="B98" s="30"/>
      <c r="C98" s="22" t="s">
        <v>393</v>
      </c>
      <c r="D98" s="15">
        <v>1581</v>
      </c>
      <c r="E98" s="49" t="s">
        <v>400</v>
      </c>
      <c r="G98" s="2"/>
      <c r="J98" s="2"/>
      <c r="M98" s="2"/>
      <c r="N98" s="12"/>
      <c r="P98" s="7"/>
    </row>
    <row r="99" spans="1:16" s="3" customFormat="1" ht="12.75">
      <c r="A99" s="2"/>
      <c r="B99" s="30"/>
      <c r="C99" s="22"/>
      <c r="D99" s="15"/>
      <c r="E99" s="49" t="s">
        <v>401</v>
      </c>
      <c r="G99" s="2"/>
      <c r="J99" s="2"/>
      <c r="M99" s="2"/>
      <c r="N99" s="12"/>
      <c r="P99" s="7"/>
    </row>
    <row r="100" spans="1:16" s="3" customFormat="1" ht="12.75">
      <c r="A100" s="2"/>
      <c r="B100" s="30"/>
      <c r="C100" s="22" t="s">
        <v>394</v>
      </c>
      <c r="D100" s="15">
        <v>1582</v>
      </c>
      <c r="E100" s="49" t="s">
        <v>402</v>
      </c>
      <c r="G100" s="2"/>
      <c r="J100" s="2"/>
      <c r="M100" s="2"/>
      <c r="N100" s="12"/>
      <c r="P100" s="7"/>
    </row>
    <row r="101" spans="1:16" s="3" customFormat="1" ht="12.75">
      <c r="A101" s="2"/>
      <c r="B101" s="30"/>
      <c r="C101" s="22"/>
      <c r="D101" s="15"/>
      <c r="E101" s="49" t="s">
        <v>403</v>
      </c>
      <c r="G101" s="2"/>
      <c r="J101" s="2"/>
      <c r="M101" s="2"/>
      <c r="N101" s="12"/>
      <c r="P101" s="7"/>
    </row>
    <row r="102" spans="1:16" s="3" customFormat="1" ht="12.75">
      <c r="A102" s="2"/>
      <c r="B102" s="30"/>
      <c r="C102" s="22" t="s">
        <v>410</v>
      </c>
      <c r="D102" s="15">
        <v>1583</v>
      </c>
      <c r="E102" s="49" t="s">
        <v>411</v>
      </c>
      <c r="G102" s="2"/>
      <c r="J102" s="2"/>
      <c r="M102" s="2"/>
      <c r="N102" s="12"/>
      <c r="P102" s="7"/>
    </row>
    <row r="103" spans="1:16" s="3" customFormat="1" ht="12.75">
      <c r="A103" s="2"/>
      <c r="B103" s="30"/>
      <c r="C103" s="22" t="s">
        <v>412</v>
      </c>
      <c r="D103" s="15">
        <v>1584</v>
      </c>
      <c r="E103" s="49" t="s">
        <v>413</v>
      </c>
      <c r="G103" s="2"/>
      <c r="J103" s="2"/>
      <c r="M103" s="2"/>
      <c r="N103" s="12"/>
      <c r="P103" s="7"/>
    </row>
    <row r="104" spans="1:16" s="3" customFormat="1" ht="12.75">
      <c r="A104" s="2"/>
      <c r="B104" s="30"/>
      <c r="C104" s="22"/>
      <c r="D104" s="15"/>
      <c r="E104" s="49" t="s">
        <v>414</v>
      </c>
      <c r="G104" s="2"/>
      <c r="J104" s="2"/>
      <c r="M104" s="2"/>
      <c r="N104" s="12"/>
      <c r="P104" s="7"/>
    </row>
    <row r="105" spans="1:16" s="3" customFormat="1" ht="12.75">
      <c r="A105" s="2"/>
      <c r="B105" s="30"/>
      <c r="C105" s="50" t="s">
        <v>404</v>
      </c>
      <c r="D105" s="15">
        <v>1591</v>
      </c>
      <c r="E105" s="49" t="s">
        <v>405</v>
      </c>
      <c r="G105" s="2"/>
      <c r="J105" s="2"/>
      <c r="M105" s="2"/>
      <c r="N105" s="12"/>
      <c r="P105" s="7"/>
    </row>
    <row r="106" spans="2:5" ht="12.75">
      <c r="B106" s="28"/>
      <c r="D106" s="17"/>
      <c r="E106" s="22"/>
    </row>
    <row r="107" spans="2:16" ht="12.75">
      <c r="B107" s="28" t="s">
        <v>52</v>
      </c>
      <c r="C107" s="19" t="s">
        <v>54</v>
      </c>
      <c r="D107" s="15">
        <v>2000</v>
      </c>
      <c r="E107" s="23" t="s">
        <v>141</v>
      </c>
      <c r="F107" s="1">
        <f>Overheads!B5+4+2*Overheads!B10+Overheads!B11</f>
        <v>21</v>
      </c>
      <c r="K107" s="1">
        <f>150+260+1784+308</f>
        <v>2502</v>
      </c>
      <c r="N107" s="10">
        <v>0</v>
      </c>
      <c r="O107" s="1">
        <v>0</v>
      </c>
      <c r="P107" s="8">
        <f aca="true" t="shared" si="0" ref="P107:P112">K107*N107*F107+O107</f>
        <v>0</v>
      </c>
    </row>
    <row r="108" spans="2:16" ht="12.75">
      <c r="B108" s="30"/>
      <c r="C108" s="19" t="s">
        <v>55</v>
      </c>
      <c r="D108" s="15">
        <v>2001</v>
      </c>
      <c r="E108" s="23" t="s">
        <v>142</v>
      </c>
      <c r="F108" s="1">
        <f>Overheads!B5+Overheads!B10+(Overheads!B6+I108*Overheads!B11)</f>
        <v>17.5</v>
      </c>
      <c r="H108" s="1" t="s">
        <v>75</v>
      </c>
      <c r="I108" s="1">
        <v>1.1</v>
      </c>
      <c r="K108" s="1">
        <f>210+360+1880+320</f>
        <v>2770</v>
      </c>
      <c r="N108" s="10">
        <v>0</v>
      </c>
      <c r="O108" s="1">
        <v>0</v>
      </c>
      <c r="P108" s="8">
        <f t="shared" si="0"/>
        <v>0</v>
      </c>
    </row>
    <row r="109" spans="2:16" ht="12.75">
      <c r="B109" s="30"/>
      <c r="C109" s="19" t="s">
        <v>56</v>
      </c>
      <c r="D109" s="15">
        <v>2002</v>
      </c>
      <c r="E109" s="23" t="s">
        <v>143</v>
      </c>
      <c r="F109" s="1">
        <f>Overheads!B5+Overheads!B10</f>
        <v>8</v>
      </c>
      <c r="K109" s="1">
        <f>190+300+500+220</f>
        <v>1210</v>
      </c>
      <c r="N109" s="10">
        <v>0</v>
      </c>
      <c r="O109" s="1">
        <v>0</v>
      </c>
      <c r="P109" s="8">
        <f t="shared" si="0"/>
        <v>0</v>
      </c>
    </row>
    <row r="110" spans="2:16" ht="12.75">
      <c r="B110" s="30"/>
      <c r="C110" s="19" t="s">
        <v>57</v>
      </c>
      <c r="D110" s="17">
        <v>2003</v>
      </c>
      <c r="E110" s="20" t="s">
        <v>183</v>
      </c>
      <c r="F110" s="1">
        <f>Overheads!B5+8+(Overheads!B7+I110*Overheads!B27)+Overheads!B28</f>
        <v>222</v>
      </c>
      <c r="H110" s="1" t="s">
        <v>81</v>
      </c>
      <c r="I110" s="1">
        <v>10</v>
      </c>
      <c r="K110" s="1">
        <f>60</f>
        <v>60</v>
      </c>
      <c r="N110" s="10">
        <v>1</v>
      </c>
      <c r="O110" s="1">
        <f>4*N110*K110</f>
        <v>240</v>
      </c>
      <c r="P110" s="8">
        <f>K110*N110*F110+O110</f>
        <v>13560</v>
      </c>
    </row>
    <row r="111" spans="2:16" ht="12.75">
      <c r="B111" s="30"/>
      <c r="C111" s="19" t="s">
        <v>58</v>
      </c>
      <c r="D111" s="17">
        <v>2004</v>
      </c>
      <c r="E111" s="20" t="s">
        <v>261</v>
      </c>
      <c r="F111" s="1">
        <f>Overheads!B5+4+Overheads!B10+Overheads!B28+Overheads!B29+4+(Overheads!B6+I111*Overheads!B11)</f>
        <v>177</v>
      </c>
      <c r="H111" s="1" t="s">
        <v>84</v>
      </c>
      <c r="I111" s="1">
        <v>1</v>
      </c>
      <c r="K111" s="1">
        <f>I112*K110</f>
        <v>150</v>
      </c>
      <c r="N111" s="10">
        <v>1</v>
      </c>
      <c r="O111" s="1">
        <v>0</v>
      </c>
      <c r="P111" s="8">
        <f t="shared" si="0"/>
        <v>26550</v>
      </c>
    </row>
    <row r="112" spans="2:16" ht="12.75">
      <c r="B112" s="30"/>
      <c r="C112" s="19" t="s">
        <v>59</v>
      </c>
      <c r="D112" s="17">
        <v>2005</v>
      </c>
      <c r="E112" s="20" t="s">
        <v>191</v>
      </c>
      <c r="F112" s="1">
        <f>Overheads!B5+4+(Overheads!B6+I112*Overheads!B11)</f>
        <v>24.5</v>
      </c>
      <c r="H112" s="1" t="s">
        <v>85</v>
      </c>
      <c r="I112" s="1">
        <v>2.5</v>
      </c>
      <c r="K112" s="1">
        <f>K110</f>
        <v>60</v>
      </c>
      <c r="N112" s="10">
        <v>1</v>
      </c>
      <c r="O112" s="1">
        <v>0</v>
      </c>
      <c r="P112" s="8">
        <f t="shared" si="0"/>
        <v>1470</v>
      </c>
    </row>
    <row r="113" spans="2:5" ht="12.75">
      <c r="B113" s="30"/>
      <c r="C113" s="20" t="s">
        <v>109</v>
      </c>
      <c r="D113" s="17">
        <v>2006</v>
      </c>
      <c r="E113" s="20" t="s">
        <v>191</v>
      </c>
    </row>
    <row r="114" spans="2:5" ht="12.75">
      <c r="B114" s="30"/>
      <c r="C114" s="20" t="s">
        <v>258</v>
      </c>
      <c r="D114" s="17">
        <v>2007</v>
      </c>
      <c r="E114" s="20" t="s">
        <v>259</v>
      </c>
    </row>
    <row r="115" spans="2:5" ht="12.75">
      <c r="B115" s="30"/>
      <c r="C115" s="20"/>
      <c r="D115" s="17"/>
      <c r="E115" s="20" t="s">
        <v>260</v>
      </c>
    </row>
    <row r="116" spans="2:5" ht="12.75">
      <c r="B116" s="1"/>
      <c r="C116" s="1"/>
      <c r="D116" s="1"/>
      <c r="E116" s="1"/>
    </row>
    <row r="117" spans="2:5" ht="12.75">
      <c r="B117" s="30" t="s">
        <v>378</v>
      </c>
      <c r="C117" s="20" t="s">
        <v>379</v>
      </c>
      <c r="D117" s="17">
        <v>3000</v>
      </c>
      <c r="E117" s="20" t="s">
        <v>380</v>
      </c>
    </row>
    <row r="118" spans="2:5" ht="12.75">
      <c r="B118" s="30"/>
      <c r="C118" s="20" t="s">
        <v>381</v>
      </c>
      <c r="D118" s="17">
        <v>3001</v>
      </c>
      <c r="E118" s="20" t="s">
        <v>382</v>
      </c>
    </row>
    <row r="120" spans="2:16" ht="12.75">
      <c r="B120" s="28" t="s">
        <v>61</v>
      </c>
      <c r="C120" s="19" t="s">
        <v>34</v>
      </c>
      <c r="D120" s="15">
        <v>4001</v>
      </c>
      <c r="E120" s="22" t="s">
        <v>191</v>
      </c>
      <c r="F120" s="1">
        <f>F28+4</f>
        <v>45</v>
      </c>
      <c r="K120" s="1">
        <f>K124*I124</f>
        <v>1500</v>
      </c>
      <c r="N120" s="10">
        <v>0</v>
      </c>
      <c r="O120" s="1">
        <v>0</v>
      </c>
      <c r="P120" s="8">
        <f>K120*N120*F120+O120</f>
        <v>0</v>
      </c>
    </row>
    <row r="121" spans="2:16" ht="12.75">
      <c r="B121" s="28"/>
      <c r="C121" s="19" t="s">
        <v>35</v>
      </c>
      <c r="D121" s="15">
        <v>4002</v>
      </c>
      <c r="E121" s="23" t="s">
        <v>136</v>
      </c>
      <c r="F121" s="1">
        <f>Overheads!B5+4*Overheads!B10+(Overheads!B6+I121*Overheads!B11)</f>
        <v>29</v>
      </c>
      <c r="H121" s="1" t="s">
        <v>68</v>
      </c>
      <c r="I121" s="1">
        <v>1</v>
      </c>
      <c r="K121" s="1">
        <f>K120</f>
        <v>1500</v>
      </c>
      <c r="N121" s="10">
        <v>0</v>
      </c>
      <c r="O121" s="1">
        <v>0</v>
      </c>
      <c r="P121" s="8">
        <f>K121*N121*F121+O121</f>
        <v>0</v>
      </c>
    </row>
    <row r="122" spans="2:5" ht="12.75">
      <c r="B122" s="28"/>
      <c r="E122" s="22" t="s">
        <v>153</v>
      </c>
    </row>
    <row r="123" spans="2:16" ht="12.75">
      <c r="B123" s="28"/>
      <c r="C123" s="20" t="s">
        <v>245</v>
      </c>
      <c r="D123" s="15">
        <v>4003</v>
      </c>
      <c r="E123" s="22" t="s">
        <v>191</v>
      </c>
      <c r="F123" s="1">
        <f>Overheads!B5+4+5*Overheads!B10</f>
        <v>28</v>
      </c>
      <c r="K123" s="1">
        <f>K121</f>
        <v>1500</v>
      </c>
      <c r="N123" s="10">
        <v>0</v>
      </c>
      <c r="O123" s="1">
        <v>0</v>
      </c>
      <c r="P123" s="8">
        <f>K123*N123*F123+O123</f>
        <v>0</v>
      </c>
    </row>
    <row r="124" spans="2:16" ht="12.75">
      <c r="B124" s="29"/>
      <c r="C124" s="19" t="s">
        <v>33</v>
      </c>
      <c r="D124" s="15">
        <v>4004</v>
      </c>
      <c r="E124" s="22" t="s">
        <v>191</v>
      </c>
      <c r="F124" s="1">
        <f>Overheads!B5+4+Overheads!B7+I124*(Overheads!B8+Overheads!B10+4)</f>
        <v>24</v>
      </c>
      <c r="H124" s="1" t="s">
        <v>67</v>
      </c>
      <c r="I124" s="1">
        <v>1.5</v>
      </c>
      <c r="K124" s="1">
        <v>1000</v>
      </c>
      <c r="N124" s="10">
        <v>1</v>
      </c>
      <c r="O124" s="1">
        <f>4*N124*K124</f>
        <v>4000</v>
      </c>
      <c r="P124" s="8">
        <f>K124*N124*F124+O124</f>
        <v>28000</v>
      </c>
    </row>
    <row r="125" spans="2:5" ht="12.75">
      <c r="B125" s="29"/>
      <c r="C125" s="20" t="s">
        <v>229</v>
      </c>
      <c r="D125" s="15">
        <v>4005</v>
      </c>
      <c r="E125" s="22"/>
    </row>
    <row r="126" spans="2:5" ht="12.75">
      <c r="B126" s="29"/>
      <c r="C126" s="20" t="s">
        <v>33</v>
      </c>
      <c r="D126" s="15">
        <v>4006</v>
      </c>
      <c r="E126" s="22" t="s">
        <v>155</v>
      </c>
    </row>
    <row r="127" spans="2:16" ht="12.75">
      <c r="B127" s="29"/>
      <c r="C127" s="20" t="s">
        <v>244</v>
      </c>
      <c r="D127" s="15">
        <v>4104</v>
      </c>
      <c r="E127" s="22" t="s">
        <v>191</v>
      </c>
      <c r="N127" s="10">
        <v>1</v>
      </c>
      <c r="O127" s="1">
        <f>4*N127*K127</f>
        <v>0</v>
      </c>
      <c r="P127" s="8">
        <f>K127*N127*F127+O127</f>
        <v>0</v>
      </c>
    </row>
    <row r="128" spans="2:5" ht="12.75">
      <c r="B128" s="29"/>
      <c r="C128" s="20"/>
      <c r="E128" s="22"/>
    </row>
    <row r="129" spans="2:5" ht="12.75">
      <c r="B129" s="48" t="s">
        <v>353</v>
      </c>
      <c r="C129" s="20" t="s">
        <v>354</v>
      </c>
      <c r="D129" s="15">
        <v>4501</v>
      </c>
      <c r="E129" s="20" t="s">
        <v>358</v>
      </c>
    </row>
    <row r="130" spans="2:5" ht="12.75">
      <c r="B130" s="28"/>
      <c r="C130" s="20" t="s">
        <v>355</v>
      </c>
      <c r="D130" s="15">
        <v>4502</v>
      </c>
      <c r="E130" s="20" t="s">
        <v>359</v>
      </c>
    </row>
    <row r="131" spans="2:5" ht="12.75">
      <c r="B131" s="28"/>
      <c r="C131" s="20" t="s">
        <v>356</v>
      </c>
      <c r="D131" s="15">
        <v>4503</v>
      </c>
      <c r="E131" s="20" t="s">
        <v>360</v>
      </c>
    </row>
    <row r="132" spans="2:5" ht="12.75">
      <c r="B132" s="28"/>
      <c r="C132" s="20" t="s">
        <v>357</v>
      </c>
      <c r="D132" s="15">
        <v>4504</v>
      </c>
      <c r="E132" s="20" t="s">
        <v>361</v>
      </c>
    </row>
    <row r="133" spans="2:5" ht="12.75">
      <c r="B133" s="1"/>
      <c r="C133" s="20"/>
      <c r="E133" s="22"/>
    </row>
    <row r="135" spans="2:16" ht="12.75">
      <c r="B135" s="30" t="s">
        <v>166</v>
      </c>
      <c r="C135" s="20" t="s">
        <v>171</v>
      </c>
      <c r="D135" s="17">
        <v>5000</v>
      </c>
      <c r="E135" s="22" t="s">
        <v>191</v>
      </c>
      <c r="F135" s="1">
        <f>Overheads!B10+Overheads!B7+12</f>
        <v>20</v>
      </c>
      <c r="K135" s="1">
        <v>10</v>
      </c>
      <c r="N135" s="10">
        <v>0</v>
      </c>
      <c r="P135" s="8">
        <f>N135*K135*F135</f>
        <v>0</v>
      </c>
    </row>
    <row r="136" spans="2:5" ht="12.75">
      <c r="B136" s="30"/>
      <c r="C136" s="20" t="s">
        <v>167</v>
      </c>
      <c r="D136" s="17">
        <v>5001</v>
      </c>
      <c r="E136" s="22" t="s">
        <v>156</v>
      </c>
    </row>
    <row r="137" spans="2:16" ht="12.75">
      <c r="B137" s="30" t="s">
        <v>168</v>
      </c>
      <c r="C137" s="20" t="s">
        <v>172</v>
      </c>
      <c r="D137" s="17">
        <v>5002</v>
      </c>
      <c r="E137" s="22" t="s">
        <v>191</v>
      </c>
      <c r="F137" s="1">
        <f>Overheads!B10+Overheads!B7+16</f>
        <v>24</v>
      </c>
      <c r="K137" s="1">
        <v>10</v>
      </c>
      <c r="N137" s="10">
        <v>1</v>
      </c>
      <c r="P137" s="8">
        <f>N137*K137*F137</f>
        <v>240</v>
      </c>
    </row>
    <row r="138" ht="12.75">
      <c r="E138" s="23"/>
    </row>
    <row r="139" spans="2:16" ht="12.75">
      <c r="B139" s="28" t="s">
        <v>4</v>
      </c>
      <c r="C139" s="19" t="s">
        <v>6</v>
      </c>
      <c r="D139" s="15">
        <v>6001</v>
      </c>
      <c r="E139" s="22" t="s">
        <v>151</v>
      </c>
      <c r="F139" s="1">
        <f>Overheads!B5+4+4+4+Overheads!B10+Overheads!B12+Overheads!B10</f>
        <v>36</v>
      </c>
      <c r="K139" s="1">
        <v>5</v>
      </c>
      <c r="N139" s="10">
        <v>1</v>
      </c>
      <c r="O139" s="1">
        <v>0</v>
      </c>
      <c r="P139" s="8">
        <f>K139*N139*F139+O139</f>
        <v>180</v>
      </c>
    </row>
    <row r="140" spans="2:16" ht="12.75">
      <c r="B140" s="28"/>
      <c r="C140" s="19" t="s">
        <v>5</v>
      </c>
      <c r="D140" s="15">
        <v>6002</v>
      </c>
      <c r="E140" s="23" t="s">
        <v>128</v>
      </c>
      <c r="F140" s="1">
        <f>Overheads!B5+4+Overheads!B10+Overheads!B10+(Overheads!B7+I140*4)</f>
        <v>40</v>
      </c>
      <c r="H140" s="1" t="s">
        <v>64</v>
      </c>
      <c r="I140" s="1">
        <v>5</v>
      </c>
      <c r="K140" s="1">
        <v>2</v>
      </c>
      <c r="N140" s="10">
        <v>1</v>
      </c>
      <c r="O140" s="1">
        <v>0</v>
      </c>
      <c r="P140" s="8">
        <f>K140*N140*F140+O140</f>
        <v>80</v>
      </c>
    </row>
    <row r="141" spans="2:16" ht="12.75">
      <c r="B141" s="28"/>
      <c r="C141" s="20" t="s">
        <v>293</v>
      </c>
      <c r="D141" s="15">
        <v>6003</v>
      </c>
      <c r="E141" s="22" t="s">
        <v>294</v>
      </c>
      <c r="K141" s="1">
        <v>1</v>
      </c>
      <c r="L141" s="1">
        <v>1</v>
      </c>
      <c r="N141" s="10">
        <v>1</v>
      </c>
      <c r="O141" s="1">
        <v>0</v>
      </c>
      <c r="P141" s="8">
        <f>K141*N141*F141+O141</f>
        <v>0</v>
      </c>
    </row>
    <row r="142" spans="2:16" ht="12.75">
      <c r="B142" s="28"/>
      <c r="C142" s="19" t="s">
        <v>7</v>
      </c>
      <c r="D142" s="15">
        <v>6004</v>
      </c>
      <c r="E142" s="23" t="s">
        <v>129</v>
      </c>
      <c r="F142" s="1">
        <f>Overheads!B3+4</f>
        <v>8</v>
      </c>
      <c r="K142" s="1">
        <v>1</v>
      </c>
      <c r="L142" s="1">
        <v>1</v>
      </c>
      <c r="N142" s="10">
        <v>1</v>
      </c>
      <c r="O142" s="1">
        <v>0</v>
      </c>
      <c r="P142" s="8">
        <f>K142*N142*F142+O142</f>
        <v>8</v>
      </c>
    </row>
    <row r="143" spans="2:5" ht="12.75">
      <c r="B143" s="28"/>
      <c r="C143" s="20" t="s">
        <v>110</v>
      </c>
      <c r="D143" s="15">
        <v>6006</v>
      </c>
      <c r="E143" s="23" t="s">
        <v>137</v>
      </c>
    </row>
    <row r="144" spans="2:5" ht="12.75">
      <c r="B144" s="28"/>
      <c r="C144" s="20"/>
      <c r="E144" s="23" t="s">
        <v>138</v>
      </c>
    </row>
    <row r="145" spans="2:5" ht="12.75">
      <c r="B145" s="28"/>
      <c r="C145" s="20" t="s">
        <v>111</v>
      </c>
      <c r="D145" s="15">
        <v>6007</v>
      </c>
      <c r="E145" s="23" t="s">
        <v>139</v>
      </c>
    </row>
    <row r="146" spans="2:5" ht="12.75">
      <c r="B146" s="28"/>
      <c r="C146" s="20"/>
      <c r="E146" s="23" t="s">
        <v>140</v>
      </c>
    </row>
    <row r="147" spans="2:16" ht="12.75">
      <c r="B147" s="28"/>
      <c r="C147" s="20" t="s">
        <v>288</v>
      </c>
      <c r="D147" s="15">
        <v>6008</v>
      </c>
      <c r="E147" s="22" t="s">
        <v>290</v>
      </c>
      <c r="K147" s="1">
        <v>1</v>
      </c>
      <c r="L147" s="1">
        <v>1</v>
      </c>
      <c r="N147" s="10">
        <v>1</v>
      </c>
      <c r="O147" s="1">
        <v>0</v>
      </c>
      <c r="P147" s="8">
        <f>K147*N147*F147+O147</f>
        <v>0</v>
      </c>
    </row>
    <row r="148" spans="2:5" ht="12.75">
      <c r="B148" s="28"/>
      <c r="C148" s="20" t="s">
        <v>287</v>
      </c>
      <c r="D148" s="15">
        <v>6009</v>
      </c>
      <c r="E148" s="22" t="s">
        <v>291</v>
      </c>
    </row>
    <row r="149" spans="2:5" ht="12.75">
      <c r="B149" s="28"/>
      <c r="C149" s="20" t="s">
        <v>289</v>
      </c>
      <c r="D149" s="15">
        <v>6010</v>
      </c>
      <c r="E149" s="22" t="s">
        <v>292</v>
      </c>
    </row>
    <row r="150" spans="2:5" ht="12.75">
      <c r="B150" s="28"/>
      <c r="C150" s="20" t="s">
        <v>295</v>
      </c>
      <c r="D150" s="15">
        <v>6011</v>
      </c>
      <c r="E150" s="22" t="s">
        <v>296</v>
      </c>
    </row>
    <row r="152" spans="2:5" ht="12.75">
      <c r="B152" s="28" t="s">
        <v>8</v>
      </c>
      <c r="C152" s="20" t="s">
        <v>114</v>
      </c>
      <c r="D152" s="15">
        <v>7001</v>
      </c>
      <c r="E152" s="20" t="s">
        <v>191</v>
      </c>
    </row>
    <row r="153" spans="2:5" ht="12.75">
      <c r="B153" s="28"/>
      <c r="C153" s="20" t="s">
        <v>112</v>
      </c>
      <c r="D153" s="15">
        <v>7002</v>
      </c>
      <c r="E153" s="20" t="s">
        <v>191</v>
      </c>
    </row>
    <row r="154" spans="2:16" ht="12.75">
      <c r="B154" s="29"/>
      <c r="C154" s="19" t="s">
        <v>9</v>
      </c>
      <c r="D154" s="15">
        <v>7003</v>
      </c>
      <c r="E154" s="22" t="s">
        <v>191</v>
      </c>
      <c r="F154" s="1">
        <f>9*4+Overheads!B19+Overheads!B19+(Overheads!B6+I154*Overheads!B11)</f>
        <v>121</v>
      </c>
      <c r="H154" s="1" t="s">
        <v>65</v>
      </c>
      <c r="I154" s="1">
        <v>5</v>
      </c>
      <c r="K154" s="1">
        <v>75</v>
      </c>
      <c r="N154" s="10">
        <v>1</v>
      </c>
      <c r="O154" s="1">
        <v>0</v>
      </c>
      <c r="P154" s="8">
        <f>K154*N154*F154+O154</f>
        <v>9075</v>
      </c>
    </row>
    <row r="155" spans="2:16" ht="12.75">
      <c r="B155" s="28"/>
      <c r="C155" s="19" t="s">
        <v>10</v>
      </c>
      <c r="D155" s="15">
        <v>7004</v>
      </c>
      <c r="E155" s="22" t="s">
        <v>191</v>
      </c>
      <c r="F155" s="1">
        <f>3*4+2*Overheads!B12+2*Overheads!B13+2*Overheads!B19+2*(Overheads!B6+I155*Overheads!B11)</f>
        <v>174</v>
      </c>
      <c r="H155" s="1" t="s">
        <v>65</v>
      </c>
      <c r="I155" s="1">
        <v>5</v>
      </c>
      <c r="K155" s="1">
        <v>10</v>
      </c>
      <c r="N155" s="10">
        <v>1</v>
      </c>
      <c r="O155" s="1">
        <v>0</v>
      </c>
      <c r="P155" s="8">
        <f>K155*N155*F155+O155</f>
        <v>1740</v>
      </c>
    </row>
    <row r="156" spans="2:16" ht="12.75">
      <c r="B156" s="28"/>
      <c r="C156" s="19" t="s">
        <v>11</v>
      </c>
      <c r="D156" s="15">
        <v>7005</v>
      </c>
      <c r="E156" s="22" t="s">
        <v>191</v>
      </c>
      <c r="F156" s="1">
        <f>Overheads!B5+Overheads!B12+Overheads!B19+(Overheads!B6+I156*Overheads!B11)</f>
        <v>73</v>
      </c>
      <c r="H156" s="1" t="s">
        <v>66</v>
      </c>
      <c r="I156" s="1">
        <v>5</v>
      </c>
      <c r="K156" s="1">
        <v>5</v>
      </c>
      <c r="N156" s="10">
        <v>1</v>
      </c>
      <c r="O156" s="1">
        <v>0</v>
      </c>
      <c r="P156" s="8">
        <f>K156*N156*F156+O156</f>
        <v>365</v>
      </c>
    </row>
    <row r="157" spans="2:16" ht="12.75">
      <c r="B157" s="28"/>
      <c r="C157" s="19" t="s">
        <v>12</v>
      </c>
      <c r="D157" s="15">
        <v>7006</v>
      </c>
      <c r="E157" s="22" t="s">
        <v>191</v>
      </c>
      <c r="F157" s="1">
        <f>Overheads!B5+Overheads!B12+Overheads!B19+(Overheads!B6+I156*Overheads!B11)</f>
        <v>73</v>
      </c>
      <c r="H157" s="1" t="s">
        <v>66</v>
      </c>
      <c r="I157" s="1">
        <v>10</v>
      </c>
      <c r="K157" s="1">
        <v>5</v>
      </c>
      <c r="N157" s="10">
        <v>1</v>
      </c>
      <c r="O157" s="1">
        <v>0</v>
      </c>
      <c r="P157" s="8">
        <f>K157*N157*F157+O157</f>
        <v>365</v>
      </c>
    </row>
    <row r="158" spans="2:5" ht="12.75">
      <c r="B158" s="28"/>
      <c r="C158" s="20" t="s">
        <v>182</v>
      </c>
      <c r="D158" s="15">
        <v>7007</v>
      </c>
      <c r="E158" s="20" t="s">
        <v>191</v>
      </c>
    </row>
    <row r="159" spans="2:5" ht="12.75">
      <c r="B159" s="28"/>
      <c r="C159" s="20" t="s">
        <v>170</v>
      </c>
      <c r="D159" s="15">
        <v>7008</v>
      </c>
      <c r="E159" s="20" t="s">
        <v>191</v>
      </c>
    </row>
    <row r="160" spans="2:5" ht="12.75">
      <c r="B160" s="28"/>
      <c r="C160" s="20" t="s">
        <v>174</v>
      </c>
      <c r="D160" s="15">
        <v>7009</v>
      </c>
      <c r="E160" s="20" t="s">
        <v>191</v>
      </c>
    </row>
    <row r="161" spans="2:5" ht="12.75">
      <c r="B161" s="28"/>
      <c r="C161" s="20" t="s">
        <v>175</v>
      </c>
      <c r="D161" s="15">
        <v>7010</v>
      </c>
      <c r="E161" s="20" t="s">
        <v>191</v>
      </c>
    </row>
    <row r="162" spans="2:5" ht="12.75">
      <c r="B162" s="28"/>
      <c r="C162" s="20" t="s">
        <v>113</v>
      </c>
      <c r="D162" s="15">
        <v>7011</v>
      </c>
      <c r="E162" s="20" t="s">
        <v>191</v>
      </c>
    </row>
    <row r="163" spans="2:5" ht="12.75">
      <c r="B163" s="28"/>
      <c r="C163" s="20" t="s">
        <v>199</v>
      </c>
      <c r="D163" s="15">
        <v>7100</v>
      </c>
      <c r="E163" s="20" t="s">
        <v>191</v>
      </c>
    </row>
    <row r="164" spans="2:5" ht="12.75">
      <c r="B164" s="28"/>
      <c r="C164" s="20" t="s">
        <v>202</v>
      </c>
      <c r="D164" s="15">
        <v>7101</v>
      </c>
      <c r="E164" s="20" t="s">
        <v>191</v>
      </c>
    </row>
    <row r="165" spans="2:5" ht="12.75">
      <c r="B165" s="28"/>
      <c r="C165" s="20" t="s">
        <v>212</v>
      </c>
      <c r="D165" s="15">
        <v>7102</v>
      </c>
      <c r="E165" s="20" t="s">
        <v>191</v>
      </c>
    </row>
    <row r="166" spans="2:5" ht="12.75">
      <c r="B166" s="28"/>
      <c r="C166" s="20"/>
      <c r="E166" s="20"/>
    </row>
    <row r="167" spans="2:5" ht="12.75">
      <c r="B167" s="30" t="s">
        <v>177</v>
      </c>
      <c r="C167" s="20" t="s">
        <v>176</v>
      </c>
      <c r="D167" s="15">
        <v>7501</v>
      </c>
      <c r="E167" s="20" t="s">
        <v>191</v>
      </c>
    </row>
    <row r="168" spans="2:5" ht="12.75">
      <c r="B168" s="30"/>
      <c r="C168" s="20" t="s">
        <v>179</v>
      </c>
      <c r="D168" s="15">
        <v>7502</v>
      </c>
      <c r="E168" s="20" t="s">
        <v>191</v>
      </c>
    </row>
    <row r="169" spans="2:5" ht="12.75">
      <c r="B169" s="30"/>
      <c r="C169" s="20" t="s">
        <v>277</v>
      </c>
      <c r="D169" s="15">
        <v>7510</v>
      </c>
      <c r="E169" s="20" t="s">
        <v>191</v>
      </c>
    </row>
    <row r="170" spans="2:5" ht="12.75">
      <c r="B170" s="30"/>
      <c r="C170" s="20" t="s">
        <v>316</v>
      </c>
      <c r="D170" s="15">
        <v>7515</v>
      </c>
      <c r="E170" s="20" t="s">
        <v>317</v>
      </c>
    </row>
    <row r="171" spans="2:5" ht="12.75">
      <c r="B171" s="30"/>
      <c r="C171" s="20" t="s">
        <v>308</v>
      </c>
      <c r="D171" s="15">
        <v>7520</v>
      </c>
      <c r="E171" s="20" t="s">
        <v>309</v>
      </c>
    </row>
    <row r="172" spans="2:5" ht="12.75">
      <c r="B172" s="30"/>
      <c r="C172" s="20" t="s">
        <v>306</v>
      </c>
      <c r="D172" s="15">
        <v>7521</v>
      </c>
      <c r="E172" s="20" t="s">
        <v>307</v>
      </c>
    </row>
    <row r="173" spans="2:5" ht="12.75">
      <c r="B173" s="30"/>
      <c r="C173" s="20" t="s">
        <v>310</v>
      </c>
      <c r="D173" s="15">
        <v>7530</v>
      </c>
      <c r="E173" s="20" t="s">
        <v>312</v>
      </c>
    </row>
    <row r="174" spans="2:5" ht="12.75">
      <c r="B174" s="30"/>
      <c r="C174" s="20" t="s">
        <v>313</v>
      </c>
      <c r="D174" s="15">
        <v>7531</v>
      </c>
      <c r="E174" s="20" t="s">
        <v>311</v>
      </c>
    </row>
    <row r="175" spans="2:5" ht="12.75">
      <c r="B175" s="30"/>
      <c r="C175" s="20" t="s">
        <v>314</v>
      </c>
      <c r="D175" s="15">
        <v>7551</v>
      </c>
      <c r="E175" s="20" t="s">
        <v>315</v>
      </c>
    </row>
    <row r="176" spans="2:5" ht="12.75">
      <c r="B176" s="30"/>
      <c r="C176" s="20" t="s">
        <v>367</v>
      </c>
      <c r="D176" s="15">
        <v>7561</v>
      </c>
      <c r="E176" s="20"/>
    </row>
    <row r="177" spans="2:5" ht="12.75">
      <c r="B177" s="30"/>
      <c r="C177" s="20" t="s">
        <v>368</v>
      </c>
      <c r="D177" s="15">
        <v>7562</v>
      </c>
      <c r="E177" s="20"/>
    </row>
    <row r="178" spans="2:5" ht="12.75">
      <c r="B178" s="30"/>
      <c r="C178" s="20" t="s">
        <v>369</v>
      </c>
      <c r="D178" s="15">
        <v>7563</v>
      </c>
      <c r="E178" s="20"/>
    </row>
    <row r="179" spans="2:5" ht="12.75">
      <c r="B179" s="30"/>
      <c r="C179" s="20" t="s">
        <v>370</v>
      </c>
      <c r="D179" s="15">
        <v>7564</v>
      </c>
      <c r="E179" s="20"/>
    </row>
    <row r="180" spans="2:5" ht="12.75">
      <c r="B180" s="30"/>
      <c r="C180" s="20"/>
      <c r="E180" s="20"/>
    </row>
    <row r="181" spans="2:5" ht="12.75">
      <c r="B181" s="30" t="s">
        <v>188</v>
      </c>
      <c r="C181" s="20" t="s">
        <v>227</v>
      </c>
      <c r="D181" s="15">
        <v>7600</v>
      </c>
      <c r="E181" s="20" t="s">
        <v>191</v>
      </c>
    </row>
    <row r="182" spans="2:5" ht="12.75">
      <c r="B182" s="30"/>
      <c r="C182" s="20" t="s">
        <v>228</v>
      </c>
      <c r="D182" s="15">
        <v>7601</v>
      </c>
      <c r="E182" s="20" t="s">
        <v>191</v>
      </c>
    </row>
    <row r="183" spans="2:5" ht="12.75">
      <c r="B183" s="30"/>
      <c r="C183" s="20"/>
      <c r="E183" s="20" t="s">
        <v>191</v>
      </c>
    </row>
    <row r="184" spans="2:5" ht="12.75">
      <c r="B184" s="1"/>
      <c r="C184" s="20" t="s">
        <v>189</v>
      </c>
      <c r="D184" s="15">
        <v>7700</v>
      </c>
      <c r="E184" s="20" t="s">
        <v>191</v>
      </c>
    </row>
    <row r="185" spans="2:5" ht="12.75">
      <c r="B185" s="30"/>
      <c r="C185" s="20" t="s">
        <v>190</v>
      </c>
      <c r="D185" s="15">
        <v>7701</v>
      </c>
      <c r="E185" s="20" t="s">
        <v>191</v>
      </c>
    </row>
    <row r="186" spans="2:5" ht="12.75">
      <c r="B186" s="30"/>
      <c r="C186" s="20" t="s">
        <v>207</v>
      </c>
      <c r="D186" s="15">
        <v>7800</v>
      </c>
      <c r="E186" s="20"/>
    </row>
    <row r="188" spans="2:16" ht="12.75">
      <c r="B188" s="28" t="s">
        <v>38</v>
      </c>
      <c r="C188" s="19" t="s">
        <v>39</v>
      </c>
      <c r="D188" s="15">
        <v>8001</v>
      </c>
      <c r="E188" s="22" t="s">
        <v>191</v>
      </c>
      <c r="F188" s="1">
        <f>Overheads!B5+(Overheads!B7+I188*4)</f>
        <v>12</v>
      </c>
      <c r="H188" s="1" t="s">
        <v>70</v>
      </c>
      <c r="I188" s="1">
        <v>1</v>
      </c>
      <c r="K188" s="1">
        <v>2500</v>
      </c>
      <c r="N188" s="10">
        <v>0</v>
      </c>
      <c r="O188" s="1">
        <v>0</v>
      </c>
      <c r="P188" s="8">
        <f>K188*N188*F188+O188</f>
        <v>0</v>
      </c>
    </row>
    <row r="189" spans="2:5" ht="12.75">
      <c r="B189" s="28"/>
      <c r="C189" s="20" t="s">
        <v>203</v>
      </c>
      <c r="D189" s="15">
        <v>8001</v>
      </c>
      <c r="E189" s="22" t="s">
        <v>204</v>
      </c>
    </row>
    <row r="190" spans="2:16" ht="12.75">
      <c r="B190" s="28"/>
      <c r="C190" s="19" t="s">
        <v>40</v>
      </c>
      <c r="D190" s="15">
        <v>8002</v>
      </c>
      <c r="E190" s="22" t="s">
        <v>191</v>
      </c>
      <c r="F190" s="1">
        <f>Overheads!B5+(Overheads!B6+I190*Overheads!B11)</f>
        <v>13</v>
      </c>
      <c r="H190" s="1" t="s">
        <v>71</v>
      </c>
      <c r="I190" s="1">
        <v>1</v>
      </c>
      <c r="K190" s="1">
        <f>K188</f>
        <v>2500</v>
      </c>
      <c r="N190" s="10">
        <v>0</v>
      </c>
      <c r="O190" s="1">
        <v>0</v>
      </c>
      <c r="P190" s="8">
        <f>K190*N190*F190+O190</f>
        <v>0</v>
      </c>
    </row>
    <row r="191" spans="2:5" ht="12.75">
      <c r="B191" s="28"/>
      <c r="C191" s="20" t="s">
        <v>205</v>
      </c>
      <c r="D191" s="15">
        <v>8002</v>
      </c>
      <c r="E191" s="22" t="s">
        <v>206</v>
      </c>
    </row>
    <row r="192" spans="2:16" ht="12.75">
      <c r="B192" s="28"/>
      <c r="C192" s="19" t="s">
        <v>41</v>
      </c>
      <c r="D192" s="15">
        <v>8003</v>
      </c>
      <c r="E192" s="20" t="s">
        <v>130</v>
      </c>
      <c r="F192" s="1">
        <f>Overheads!B5+2*4+2*Overheads!B10+Overheads!B11</f>
        <v>25</v>
      </c>
      <c r="K192" s="1">
        <f>K188</f>
        <v>2500</v>
      </c>
      <c r="N192" s="10">
        <v>0</v>
      </c>
      <c r="O192" s="1">
        <v>0</v>
      </c>
      <c r="P192" s="8">
        <f>K192*N192*F192+O192</f>
        <v>0</v>
      </c>
    </row>
    <row r="193" spans="2:16" ht="12.75">
      <c r="B193" s="28"/>
      <c r="C193" s="19" t="s">
        <v>42</v>
      </c>
      <c r="D193" s="15">
        <v>8004</v>
      </c>
      <c r="E193" s="22" t="s">
        <v>191</v>
      </c>
      <c r="F193" s="1">
        <f>Overheads!B5+4+Overheads!B10</f>
        <v>12</v>
      </c>
      <c r="K193" s="1">
        <f>K188</f>
        <v>2500</v>
      </c>
      <c r="N193" s="10">
        <f>K211/K193</f>
        <v>0.2</v>
      </c>
      <c r="O193" s="1">
        <f>4*N193*K193</f>
        <v>2000</v>
      </c>
      <c r="P193" s="8">
        <f>K193*N193*F193+O193</f>
        <v>8000</v>
      </c>
    </row>
    <row r="195" spans="2:16" ht="12.75">
      <c r="B195" s="30" t="s">
        <v>297</v>
      </c>
      <c r="C195" s="20" t="s">
        <v>253</v>
      </c>
      <c r="D195" s="15">
        <v>9001</v>
      </c>
      <c r="E195" s="20" t="s">
        <v>255</v>
      </c>
      <c r="F195" s="1">
        <f>Overheads!B5+4+Overheads!B10+Overheads!B11</f>
        <v>17</v>
      </c>
      <c r="K195" s="1">
        <v>3578</v>
      </c>
      <c r="N195" s="10">
        <v>0</v>
      </c>
      <c r="O195" s="1">
        <v>0</v>
      </c>
      <c r="P195" s="8">
        <f>K195*N195*F195+O195</f>
        <v>0</v>
      </c>
    </row>
    <row r="196" spans="2:16" ht="12.75">
      <c r="B196" s="28"/>
      <c r="C196" s="20" t="s">
        <v>254</v>
      </c>
      <c r="D196" s="15">
        <v>9002</v>
      </c>
      <c r="E196" s="20" t="s">
        <v>256</v>
      </c>
      <c r="F196" s="1">
        <f>Overheads!B5+4+Overheads!B10+Overheads!B11</f>
        <v>17</v>
      </c>
      <c r="K196" s="1">
        <v>3343</v>
      </c>
      <c r="N196" s="10">
        <v>0</v>
      </c>
      <c r="O196" s="1">
        <v>0</v>
      </c>
      <c r="P196" s="8">
        <f>K196*N196*F196+O196</f>
        <v>0</v>
      </c>
    </row>
    <row r="197" spans="2:16" ht="12.75">
      <c r="B197" s="28"/>
      <c r="C197" s="20" t="s">
        <v>262</v>
      </c>
      <c r="D197" s="15">
        <v>9003</v>
      </c>
      <c r="E197" s="20" t="s">
        <v>265</v>
      </c>
      <c r="F197" s="1">
        <f>Overheads!B5+Overheads!B10</f>
        <v>8</v>
      </c>
      <c r="K197" s="1">
        <v>3343</v>
      </c>
      <c r="N197" s="10">
        <v>0</v>
      </c>
      <c r="O197" s="1">
        <v>0</v>
      </c>
      <c r="P197" s="8">
        <f>K197*N197*F197+O197</f>
        <v>0</v>
      </c>
    </row>
    <row r="198" spans="2:16" ht="12.75">
      <c r="B198" s="28"/>
      <c r="C198" s="20" t="s">
        <v>263</v>
      </c>
      <c r="D198" s="15">
        <v>9004</v>
      </c>
      <c r="E198" s="20" t="s">
        <v>266</v>
      </c>
      <c r="F198" s="1">
        <f>Overheads!B5+2*Overheads!B10+(Overheads!B6+I198*Overheads!B11)</f>
        <v>23</v>
      </c>
      <c r="H198" s="1" t="s">
        <v>69</v>
      </c>
      <c r="I198" s="1">
        <v>1.4</v>
      </c>
      <c r="K198" s="1">
        <v>738</v>
      </c>
      <c r="N198" s="10">
        <f>K210/K198</f>
        <v>0.6775067750677507</v>
      </c>
      <c r="O198" s="1">
        <f>4*N198*K198</f>
        <v>2000</v>
      </c>
      <c r="P198" s="8">
        <f>K198*N198*F198+O198</f>
        <v>13500</v>
      </c>
    </row>
    <row r="199" spans="2:16" ht="12.75">
      <c r="B199" s="28"/>
      <c r="C199" s="20" t="s">
        <v>264</v>
      </c>
      <c r="D199" s="15">
        <v>9005</v>
      </c>
      <c r="E199" s="20" t="s">
        <v>267</v>
      </c>
      <c r="F199" s="1">
        <f>Overheads!B3+2*4</f>
        <v>12</v>
      </c>
      <c r="K199" s="1">
        <v>1</v>
      </c>
      <c r="L199" s="1">
        <v>1</v>
      </c>
      <c r="N199" s="10">
        <v>1</v>
      </c>
      <c r="O199" s="1">
        <v>0</v>
      </c>
      <c r="P199" s="8">
        <f>K199*N199*F199+O199</f>
        <v>12</v>
      </c>
    </row>
    <row r="200" spans="2:5" ht="12.75">
      <c r="B200" s="28"/>
      <c r="C200" s="20" t="s">
        <v>192</v>
      </c>
      <c r="D200" s="15">
        <v>9006</v>
      </c>
      <c r="E200" s="20" t="s">
        <v>191</v>
      </c>
    </row>
    <row r="201" spans="2:5" ht="12.75">
      <c r="B201" s="28"/>
      <c r="C201" s="20" t="s">
        <v>298</v>
      </c>
      <c r="D201" s="15">
        <v>9010</v>
      </c>
      <c r="E201" s="20" t="s">
        <v>305</v>
      </c>
    </row>
    <row r="202" spans="2:5" ht="12.75">
      <c r="B202" s="28"/>
      <c r="C202" s="20" t="s">
        <v>299</v>
      </c>
      <c r="D202" s="15">
        <v>9011</v>
      </c>
      <c r="E202" s="20" t="s">
        <v>302</v>
      </c>
    </row>
    <row r="203" spans="2:5" ht="12.75">
      <c r="B203" s="28"/>
      <c r="C203" s="20" t="s">
        <v>300</v>
      </c>
      <c r="D203" s="15">
        <v>9012</v>
      </c>
      <c r="E203" s="20" t="s">
        <v>303</v>
      </c>
    </row>
    <row r="204" spans="2:5" ht="12.75">
      <c r="B204" s="28"/>
      <c r="C204" s="20" t="s">
        <v>301</v>
      </c>
      <c r="D204" s="15">
        <v>9013</v>
      </c>
      <c r="E204" s="20" t="s">
        <v>304</v>
      </c>
    </row>
    <row r="206" spans="2:5" ht="12.75">
      <c r="B206" s="28" t="s">
        <v>43</v>
      </c>
      <c r="C206" s="20" t="s">
        <v>154</v>
      </c>
      <c r="D206" s="15">
        <v>10002</v>
      </c>
      <c r="E206" s="20" t="s">
        <v>191</v>
      </c>
    </row>
    <row r="207" spans="2:16" ht="12.75">
      <c r="B207" s="1"/>
      <c r="C207" s="19" t="s">
        <v>44</v>
      </c>
      <c r="D207" s="15">
        <v>10003</v>
      </c>
      <c r="E207" s="22" t="s">
        <v>191</v>
      </c>
      <c r="F207" s="1">
        <f>Overheads!B5+4+Overheads!B10+(Overheads!B6+Overheads!B11*(I211+I210+I212))+(Overheads!B6+Overheads!B11*I209)</f>
        <v>210</v>
      </c>
      <c r="K207" s="1">
        <v>50</v>
      </c>
      <c r="N207" s="10">
        <v>1</v>
      </c>
      <c r="O207" s="1">
        <v>0</v>
      </c>
      <c r="P207" s="8">
        <f>K207*N207*F207+O207</f>
        <v>10500</v>
      </c>
    </row>
    <row r="208" spans="2:5" ht="12.75">
      <c r="B208" s="28"/>
      <c r="C208" s="20" t="s">
        <v>127</v>
      </c>
      <c r="D208" s="15">
        <v>10004</v>
      </c>
      <c r="E208" s="22" t="s">
        <v>191</v>
      </c>
    </row>
    <row r="209" spans="2:16" ht="12.75">
      <c r="B209" s="29"/>
      <c r="C209" s="19" t="s">
        <v>45</v>
      </c>
      <c r="D209" s="15">
        <v>10005</v>
      </c>
      <c r="E209" s="22" t="s">
        <v>191</v>
      </c>
      <c r="F209" s="1">
        <f>Overheads!B25+Overheads!B17+Overheads!B21</f>
        <v>96</v>
      </c>
      <c r="H209" s="1" t="s">
        <v>72</v>
      </c>
      <c r="I209" s="1">
        <v>6</v>
      </c>
      <c r="K209" s="1">
        <f>K207*I209</f>
        <v>300</v>
      </c>
      <c r="N209" s="10">
        <v>1</v>
      </c>
      <c r="O209" s="1">
        <v>0</v>
      </c>
      <c r="P209" s="8">
        <f>K209*N209*F209+O209</f>
        <v>28800</v>
      </c>
    </row>
    <row r="210" spans="2:16" ht="12.75">
      <c r="B210" s="28"/>
      <c r="C210" s="19" t="s">
        <v>50</v>
      </c>
      <c r="D210" s="15">
        <v>10006</v>
      </c>
      <c r="E210" s="20" t="s">
        <v>191</v>
      </c>
      <c r="F210" s="1">
        <f>Overheads!B5+2*Overheads!B10+Overheads!B11</f>
        <v>17</v>
      </c>
      <c r="H210" s="1" t="s">
        <v>73</v>
      </c>
      <c r="I210" s="1">
        <v>10</v>
      </c>
      <c r="K210" s="1">
        <f>K207*I210</f>
        <v>500</v>
      </c>
      <c r="N210" s="10">
        <v>1</v>
      </c>
      <c r="O210" s="1">
        <v>0</v>
      </c>
      <c r="P210" s="8">
        <f>K210*N210*F210+O210</f>
        <v>8500</v>
      </c>
    </row>
    <row r="211" spans="2:16" ht="12.75">
      <c r="B211" s="28"/>
      <c r="C211" s="19" t="s">
        <v>49</v>
      </c>
      <c r="D211" s="15">
        <v>10007</v>
      </c>
      <c r="E211" s="20" t="s">
        <v>191</v>
      </c>
      <c r="F211" s="1">
        <f>Overheads!B5+4+2*Overheads!B10+Overheads!B11</f>
        <v>21</v>
      </c>
      <c r="H211" s="1" t="s">
        <v>73</v>
      </c>
      <c r="I211" s="1">
        <v>10</v>
      </c>
      <c r="K211" s="1">
        <f>K207*I211</f>
        <v>500</v>
      </c>
      <c r="N211" s="10">
        <v>1</v>
      </c>
      <c r="O211" s="1">
        <v>0</v>
      </c>
      <c r="P211" s="8">
        <f>K211*N211*F211+O211</f>
        <v>10500</v>
      </c>
    </row>
    <row r="212" spans="2:16" ht="12.75">
      <c r="B212" s="28"/>
      <c r="C212" s="19" t="s">
        <v>51</v>
      </c>
      <c r="D212" s="15">
        <v>10008</v>
      </c>
      <c r="E212" s="22" t="s">
        <v>191</v>
      </c>
      <c r="F212" s="1">
        <f>Overheads!B5+2*Overheads!B10+Overheads!B11</f>
        <v>17</v>
      </c>
      <c r="H212" s="1" t="s">
        <v>73</v>
      </c>
      <c r="I212" s="1">
        <v>12</v>
      </c>
      <c r="K212" s="1">
        <f>K207*I212</f>
        <v>600</v>
      </c>
      <c r="N212" s="10">
        <v>1</v>
      </c>
      <c r="O212" s="1">
        <v>0</v>
      </c>
      <c r="P212" s="8">
        <f>K212*N212*F212+O212</f>
        <v>10200</v>
      </c>
    </row>
    <row r="213" spans="3:5" ht="12.75">
      <c r="C213" s="20" t="s">
        <v>208</v>
      </c>
      <c r="D213" s="15">
        <v>10010</v>
      </c>
      <c r="E213" s="20" t="s">
        <v>209</v>
      </c>
    </row>
    <row r="214" spans="3:5" ht="12.75">
      <c r="C214" s="20" t="s">
        <v>210</v>
      </c>
      <c r="D214" s="15">
        <v>10011</v>
      </c>
      <c r="E214" s="20" t="s">
        <v>211</v>
      </c>
    </row>
    <row r="215" spans="3:5" ht="12.75">
      <c r="C215" s="20" t="s">
        <v>218</v>
      </c>
      <c r="D215" s="15">
        <v>10020</v>
      </c>
      <c r="E215" s="20" t="s">
        <v>191</v>
      </c>
    </row>
    <row r="216" spans="3:5" ht="12.75">
      <c r="C216" s="20" t="s">
        <v>247</v>
      </c>
      <c r="D216" s="15">
        <v>10030</v>
      </c>
      <c r="E216" s="20" t="s">
        <v>350</v>
      </c>
    </row>
    <row r="217" spans="3:5" ht="12.75">
      <c r="C217" s="20"/>
      <c r="E217" s="20" t="s">
        <v>351</v>
      </c>
    </row>
    <row r="218" spans="3:5" ht="12.75">
      <c r="C218" s="20"/>
      <c r="E218" s="20" t="s">
        <v>248</v>
      </c>
    </row>
    <row r="219" spans="3:5" ht="12.75">
      <c r="C219" s="20" t="s">
        <v>371</v>
      </c>
      <c r="D219" s="15">
        <v>10031</v>
      </c>
      <c r="E219" s="20" t="s">
        <v>372</v>
      </c>
    </row>
    <row r="220" spans="3:5" ht="12.75">
      <c r="C220" s="20" t="s">
        <v>283</v>
      </c>
      <c r="D220" s="15">
        <v>10040</v>
      </c>
      <c r="E220" s="20" t="s">
        <v>284</v>
      </c>
    </row>
    <row r="222" spans="2:11" ht="12.75">
      <c r="B222" s="28" t="s">
        <v>53</v>
      </c>
      <c r="C222" s="20" t="s">
        <v>115</v>
      </c>
      <c r="D222" s="15">
        <v>11020</v>
      </c>
      <c r="E222" s="20" t="s">
        <v>191</v>
      </c>
      <c r="K222" s="1">
        <f>K224</f>
        <v>3200</v>
      </c>
    </row>
    <row r="223" spans="2:16" ht="12.75">
      <c r="B223" s="28"/>
      <c r="C223" s="19" t="s">
        <v>87</v>
      </c>
      <c r="D223" s="15">
        <v>11021</v>
      </c>
      <c r="E223" s="20" t="s">
        <v>145</v>
      </c>
      <c r="F223" s="1">
        <f>Overheads!B5+4</f>
        <v>8</v>
      </c>
      <c r="K223" s="1">
        <v>1600</v>
      </c>
      <c r="N223" s="10">
        <v>0</v>
      </c>
      <c r="O223" s="1">
        <v>0</v>
      </c>
      <c r="P223" s="8">
        <f>K223*N223*F223+O223</f>
        <v>0</v>
      </c>
    </row>
    <row r="224" spans="2:18" ht="12.75">
      <c r="B224" s="29"/>
      <c r="C224" s="19" t="s">
        <v>86</v>
      </c>
      <c r="D224" s="15">
        <v>11022</v>
      </c>
      <c r="E224" s="22" t="s">
        <v>144</v>
      </c>
      <c r="F224" s="1">
        <f>Overheads!B5+4+(Overheads!B7+I224*4)+(Overheads!B6+I224*Overheads!B11)</f>
        <v>25</v>
      </c>
      <c r="H224" s="1" t="s">
        <v>75</v>
      </c>
      <c r="I224" s="1">
        <v>1</v>
      </c>
      <c r="K224" s="1">
        <v>3200</v>
      </c>
      <c r="N224" s="10">
        <v>0</v>
      </c>
      <c r="O224" s="1">
        <v>0</v>
      </c>
      <c r="P224" s="8">
        <f>K224*N224*F224+O224</f>
        <v>0</v>
      </c>
      <c r="R224" s="8"/>
    </row>
    <row r="225" spans="2:16" ht="12.75">
      <c r="B225" s="28"/>
      <c r="C225" s="19" t="s">
        <v>88</v>
      </c>
      <c r="D225" s="15">
        <v>11040</v>
      </c>
      <c r="E225" s="22" t="s">
        <v>272</v>
      </c>
      <c r="F225" s="1">
        <f>Overheads!B5+1+(Overheads!B6+I225*Overheads!B11)</f>
        <v>19</v>
      </c>
      <c r="H225" s="1" t="s">
        <v>89</v>
      </c>
      <c r="I225" s="1">
        <v>2</v>
      </c>
      <c r="K225" s="1">
        <v>800</v>
      </c>
      <c r="N225" s="10">
        <v>1</v>
      </c>
      <c r="O225" s="1">
        <f>4*N225*K225</f>
        <v>3200</v>
      </c>
      <c r="P225" s="8">
        <f>K225*N225*F225+O225</f>
        <v>18400</v>
      </c>
    </row>
    <row r="226" spans="2:5" ht="12.75">
      <c r="B226" s="28"/>
      <c r="C226" s="20" t="s">
        <v>365</v>
      </c>
      <c r="D226" s="15">
        <v>11041</v>
      </c>
      <c r="E226" s="22" t="s">
        <v>366</v>
      </c>
    </row>
    <row r="227" spans="1:16" s="3" customFormat="1" ht="12.75">
      <c r="A227" s="2"/>
      <c r="B227" s="28"/>
      <c r="C227" s="20" t="s">
        <v>270</v>
      </c>
      <c r="D227" s="15">
        <v>11050</v>
      </c>
      <c r="E227" s="20" t="s">
        <v>271</v>
      </c>
      <c r="F227" s="3">
        <f>Overheads!B5+8*4+2*Overheads!B11+(Overheads!B6+I227*Overheads!B11)</f>
        <v>75</v>
      </c>
      <c r="G227" s="2"/>
      <c r="H227" s="3" t="s">
        <v>90</v>
      </c>
      <c r="I227" s="3">
        <v>5</v>
      </c>
      <c r="J227" s="2"/>
      <c r="K227" s="3">
        <v>40</v>
      </c>
      <c r="M227" s="2"/>
      <c r="N227" s="12">
        <v>1</v>
      </c>
      <c r="O227" s="3">
        <v>0</v>
      </c>
      <c r="P227" s="7">
        <f>K227*N227*F227+O227</f>
        <v>3000</v>
      </c>
    </row>
    <row r="228" spans="1:16" s="3" customFormat="1" ht="12.75">
      <c r="A228" s="2"/>
      <c r="B228" s="28"/>
      <c r="C228" s="19"/>
      <c r="D228" s="15"/>
      <c r="E228" s="20"/>
      <c r="G228" s="2"/>
      <c r="J228" s="2"/>
      <c r="M228" s="2"/>
      <c r="N228" s="12"/>
      <c r="P228" s="7"/>
    </row>
    <row r="229" spans="2:5" ht="12.75">
      <c r="B229" s="33" t="s">
        <v>60</v>
      </c>
      <c r="C229" s="20" t="s">
        <v>124</v>
      </c>
      <c r="D229" s="18">
        <v>12401</v>
      </c>
      <c r="E229" s="20" t="s">
        <v>191</v>
      </c>
    </row>
    <row r="230" spans="3:16" ht="12.75">
      <c r="C230" s="20" t="s">
        <v>102</v>
      </c>
      <c r="D230" s="18">
        <v>12402</v>
      </c>
      <c r="E230" s="20" t="s">
        <v>135</v>
      </c>
      <c r="F230" s="1">
        <f>Overheads!B5+2*4+2*(Overheads!B7+5*4)+Overheads!B11</f>
        <v>65</v>
      </c>
      <c r="K230" s="1">
        <f>K207</f>
        <v>50</v>
      </c>
      <c r="N230" s="10">
        <v>1</v>
      </c>
      <c r="O230" s="1">
        <v>0</v>
      </c>
      <c r="P230" s="8">
        <f>K230*N230*F230+O230</f>
        <v>3250</v>
      </c>
    </row>
    <row r="231" spans="3:8" ht="12.75">
      <c r="C231" s="20" t="s">
        <v>122</v>
      </c>
      <c r="D231" s="18">
        <v>12403</v>
      </c>
      <c r="E231" s="20" t="s">
        <v>191</v>
      </c>
      <c r="H231"/>
    </row>
    <row r="232" spans="3:5" ht="12.75">
      <c r="C232" s="20" t="s">
        <v>126</v>
      </c>
      <c r="D232" s="18">
        <v>12404</v>
      </c>
      <c r="E232" s="22" t="s">
        <v>191</v>
      </c>
    </row>
    <row r="233" spans="3:8" ht="12.75">
      <c r="C233" s="20" t="s">
        <v>123</v>
      </c>
      <c r="D233" s="18">
        <v>12405</v>
      </c>
      <c r="E233" s="20" t="s">
        <v>191</v>
      </c>
      <c r="H233"/>
    </row>
    <row r="234" spans="3:5" ht="12.75">
      <c r="C234" s="20" t="s">
        <v>125</v>
      </c>
      <c r="D234" s="18">
        <v>12406</v>
      </c>
      <c r="E234" s="22" t="s">
        <v>191</v>
      </c>
    </row>
    <row r="235" spans="3:16" ht="12.75">
      <c r="C235" s="20" t="s">
        <v>101</v>
      </c>
      <c r="D235" s="18">
        <v>12407</v>
      </c>
      <c r="E235" s="20" t="s">
        <v>134</v>
      </c>
      <c r="F235" s="1">
        <f>Overheads!B5</f>
        <v>4</v>
      </c>
      <c r="K235" s="1">
        <v>1000</v>
      </c>
      <c r="N235" s="10">
        <v>0</v>
      </c>
      <c r="O235" s="1">
        <v>0</v>
      </c>
      <c r="P235" s="8">
        <f>K235*N235*F235+O235</f>
        <v>0</v>
      </c>
    </row>
    <row r="236" spans="3:16" ht="12.75">
      <c r="C236" s="20" t="s">
        <v>100</v>
      </c>
      <c r="D236" s="18">
        <v>12408</v>
      </c>
      <c r="E236" s="20" t="s">
        <v>131</v>
      </c>
      <c r="F236" s="1">
        <f>Overheads!B5+(Overheads!B6+Overheads!B11*'Persistent capable classes'!I236)</f>
        <v>13</v>
      </c>
      <c r="H236" t="s">
        <v>103</v>
      </c>
      <c r="I236" s="1">
        <v>1</v>
      </c>
      <c r="K236" s="1">
        <v>1000</v>
      </c>
      <c r="N236" s="10">
        <v>0</v>
      </c>
      <c r="O236" s="1">
        <v>0</v>
      </c>
      <c r="P236" s="8">
        <f>K236*N236*F236+O236</f>
        <v>0</v>
      </c>
    </row>
    <row r="237" spans="3:8" ht="12.75">
      <c r="C237" s="20" t="s">
        <v>249</v>
      </c>
      <c r="D237" s="18">
        <v>12409</v>
      </c>
      <c r="E237" s="20" t="s">
        <v>250</v>
      </c>
      <c r="H237"/>
    </row>
    <row r="238" spans="3:8" ht="12.75">
      <c r="C238" s="20" t="s">
        <v>120</v>
      </c>
      <c r="D238" s="18">
        <v>12410</v>
      </c>
      <c r="E238" s="20" t="s">
        <v>191</v>
      </c>
      <c r="H238"/>
    </row>
    <row r="239" spans="3:8" ht="12.75">
      <c r="C239" s="20" t="s">
        <v>99</v>
      </c>
      <c r="D239" s="18">
        <v>12412</v>
      </c>
      <c r="E239" s="22" t="s">
        <v>132</v>
      </c>
      <c r="F239" s="1">
        <f>Overheads!B5+4*Overheads!B12+4*4+Overheads!B11</f>
        <v>73</v>
      </c>
      <c r="H239"/>
    </row>
    <row r="240" spans="2:8" ht="12.75">
      <c r="B240" s="26"/>
      <c r="C240" s="20" t="s">
        <v>273</v>
      </c>
      <c r="D240" s="37">
        <v>12413</v>
      </c>
      <c r="E240" s="22" t="s">
        <v>169</v>
      </c>
      <c r="H240"/>
    </row>
    <row r="241" spans="2:8" ht="12.75">
      <c r="B241" s="26"/>
      <c r="C241" s="20" t="s">
        <v>251</v>
      </c>
      <c r="D241" s="37">
        <v>12415</v>
      </c>
      <c r="E241" s="22" t="s">
        <v>252</v>
      </c>
      <c r="H241"/>
    </row>
    <row r="242" spans="2:8" ht="12.75">
      <c r="B242" s="26"/>
      <c r="C242" s="20" t="s">
        <v>268</v>
      </c>
      <c r="D242" s="37">
        <v>12451</v>
      </c>
      <c r="E242" s="22" t="s">
        <v>269</v>
      </c>
      <c r="H242"/>
    </row>
    <row r="243" spans="2:8" ht="12.75">
      <c r="B243" s="26"/>
      <c r="C243" s="20"/>
      <c r="D243" s="37"/>
      <c r="E243" s="22"/>
      <c r="H243"/>
    </row>
    <row r="244" spans="2:8" ht="12.75">
      <c r="B244" s="26" t="s">
        <v>415</v>
      </c>
      <c r="C244" s="20" t="s">
        <v>416</v>
      </c>
      <c r="D244" s="37">
        <v>13001</v>
      </c>
      <c r="E244" s="22" t="s">
        <v>417</v>
      </c>
      <c r="H244"/>
    </row>
    <row r="245" spans="2:8" ht="12.75">
      <c r="B245" s="26"/>
      <c r="C245" s="20"/>
      <c r="D245" s="37"/>
      <c r="E245" s="22" t="s">
        <v>418</v>
      </c>
      <c r="H245"/>
    </row>
    <row r="246" spans="2:8" ht="12.75">
      <c r="B246" s="26"/>
      <c r="C246" s="20"/>
      <c r="D246" s="37"/>
      <c r="E246" s="22"/>
      <c r="H246"/>
    </row>
    <row r="247" spans="2:8" ht="12.75">
      <c r="B247" s="36" t="s">
        <v>332</v>
      </c>
      <c r="C247" s="20" t="s">
        <v>362</v>
      </c>
      <c r="D247" s="37">
        <v>13500</v>
      </c>
      <c r="E247" s="22"/>
      <c r="H247"/>
    </row>
    <row r="248" spans="2:8" ht="12.75">
      <c r="B248" s="1"/>
      <c r="C248" s="20" t="s">
        <v>333</v>
      </c>
      <c r="D248" s="37">
        <v>13501</v>
      </c>
      <c r="E248" s="22"/>
      <c r="H248"/>
    </row>
    <row r="249" spans="2:8" ht="12.75">
      <c r="B249" s="36"/>
      <c r="C249" s="20" t="s">
        <v>334</v>
      </c>
      <c r="D249" s="37">
        <v>13502</v>
      </c>
      <c r="E249" s="22"/>
      <c r="H249"/>
    </row>
    <row r="250" spans="2:8" ht="12.75">
      <c r="B250" s="36"/>
      <c r="C250" s="20" t="s">
        <v>352</v>
      </c>
      <c r="D250" s="37">
        <v>13503</v>
      </c>
      <c r="E250" s="22"/>
      <c r="H250"/>
    </row>
    <row r="251" spans="2:8" ht="12.75">
      <c r="B251" s="36"/>
      <c r="C251" s="20" t="s">
        <v>363</v>
      </c>
      <c r="D251" s="37">
        <v>13504</v>
      </c>
      <c r="E251" s="22"/>
      <c r="H251"/>
    </row>
    <row r="252" spans="2:8" ht="12.75">
      <c r="B252" s="36"/>
      <c r="C252" s="20" t="s">
        <v>364</v>
      </c>
      <c r="D252" s="37">
        <v>13505</v>
      </c>
      <c r="E252" s="22"/>
      <c r="H252"/>
    </row>
    <row r="253" spans="2:8" ht="12.75">
      <c r="B253" s="36"/>
      <c r="C253" s="20"/>
      <c r="D253" s="37"/>
      <c r="E253" s="22"/>
      <c r="H253"/>
    </row>
    <row r="254" spans="2:8" ht="12.75">
      <c r="B254" s="36"/>
      <c r="C254" s="20" t="s">
        <v>420</v>
      </c>
      <c r="D254" s="37">
        <v>13600</v>
      </c>
      <c r="E254" s="22"/>
      <c r="H254"/>
    </row>
    <row r="255" spans="2:8" ht="12.75">
      <c r="B255" s="36"/>
      <c r="C255" s="20" t="s">
        <v>421</v>
      </c>
      <c r="D255" s="37">
        <v>13601</v>
      </c>
      <c r="E255" s="22"/>
      <c r="H255"/>
    </row>
    <row r="256" spans="2:8" ht="12.75">
      <c r="B256" s="26"/>
      <c r="C256" s="20"/>
      <c r="D256" s="37"/>
      <c r="E256" s="22"/>
      <c r="H256"/>
    </row>
    <row r="257" spans="2:8" ht="12.75">
      <c r="B257" s="36" t="s">
        <v>241</v>
      </c>
      <c r="C257" s="20" t="s">
        <v>233</v>
      </c>
      <c r="D257" s="37" t="s">
        <v>242</v>
      </c>
      <c r="E257" s="22"/>
      <c r="H257"/>
    </row>
    <row r="258" spans="2:8" ht="12.75">
      <c r="B258" s="36" t="s">
        <v>285</v>
      </c>
      <c r="C258" s="39" t="s">
        <v>233</v>
      </c>
      <c r="D258" s="46" t="s">
        <v>286</v>
      </c>
      <c r="E258" s="45"/>
      <c r="H258"/>
    </row>
    <row r="259" spans="2:8" ht="12.75">
      <c r="B259" s="26"/>
      <c r="C259" s="39"/>
      <c r="D259" s="41"/>
      <c r="E259" s="39"/>
      <c r="F259" s="42"/>
      <c r="H259"/>
    </row>
    <row r="260" spans="1:16" s="4" customFormat="1" ht="13.5" thickBot="1">
      <c r="A260" s="5"/>
      <c r="B260" s="43" t="s">
        <v>230</v>
      </c>
      <c r="C260" s="47" t="s">
        <v>233</v>
      </c>
      <c r="D260" s="44" t="s">
        <v>234</v>
      </c>
      <c r="E260" s="40"/>
      <c r="F260" s="40"/>
      <c r="G260" s="5"/>
      <c r="J260" s="5"/>
      <c r="K260" s="4">
        <v>1000</v>
      </c>
      <c r="M260" s="5"/>
      <c r="N260" s="11">
        <v>0</v>
      </c>
      <c r="O260" s="4">
        <v>0</v>
      </c>
      <c r="P260" s="9">
        <f>K260*N260*F260+O260</f>
        <v>0</v>
      </c>
    </row>
    <row r="261" spans="2:16" s="3" customFormat="1" ht="12.75">
      <c r="B261" s="26"/>
      <c r="C261" s="36"/>
      <c r="D261" s="37"/>
      <c r="E261" s="38"/>
      <c r="N261" s="12"/>
      <c r="P261" s="7"/>
    </row>
    <row r="262" spans="2:16" s="3" customFormat="1" ht="12.75">
      <c r="B262" s="26"/>
      <c r="C262" s="26"/>
      <c r="D262" s="7"/>
      <c r="E262" s="26"/>
      <c r="N262" s="13" t="s">
        <v>95</v>
      </c>
      <c r="P262" s="7">
        <f>SUM(P7:P260)</f>
        <v>233533.4</v>
      </c>
    </row>
    <row r="263" spans="2:16" s="3" customFormat="1" ht="12.75">
      <c r="B263" s="26"/>
      <c r="C263" s="26"/>
      <c r="D263" s="7"/>
      <c r="E263" s="26"/>
      <c r="N263" s="13" t="s">
        <v>97</v>
      </c>
      <c r="P263" s="7">
        <f>P262-SUM(O7:O260)-SUM(P8:P27)</f>
        <v>184875</v>
      </c>
    </row>
    <row r="264" spans="2:16" s="3" customFormat="1" ht="12.75">
      <c r="B264" s="26"/>
      <c r="C264" s="26"/>
      <c r="D264" s="7"/>
      <c r="E264" s="26"/>
      <c r="N264" s="12"/>
      <c r="P264" s="7"/>
    </row>
    <row r="265" spans="2:16" s="3" customFormat="1" ht="12.75">
      <c r="B265" s="26"/>
      <c r="C265" s="26"/>
      <c r="D265" s="7"/>
      <c r="E265" s="26"/>
      <c r="N265" s="12"/>
      <c r="P265" s="7"/>
    </row>
    <row r="266" spans="2:16" s="3" customFormat="1" ht="12.75">
      <c r="B266" s="26"/>
      <c r="C266" s="26"/>
      <c r="D266" s="7"/>
      <c r="E266" s="26"/>
      <c r="N266" s="12"/>
      <c r="P266" s="7"/>
    </row>
    <row r="267" spans="2:16" s="3" customFormat="1" ht="12.75">
      <c r="B267" s="26"/>
      <c r="C267" s="26"/>
      <c r="D267" s="7"/>
      <c r="E267" s="26"/>
      <c r="N267" s="12"/>
      <c r="P267" s="7"/>
    </row>
    <row r="268" spans="2:16" s="3" customFormat="1" ht="12.75">
      <c r="B268" s="26"/>
      <c r="C268" s="26"/>
      <c r="D268" s="7"/>
      <c r="E268" s="26"/>
      <c r="N268" s="12"/>
      <c r="P268" s="7"/>
    </row>
    <row r="269" spans="2:16" s="3" customFormat="1" ht="12.75">
      <c r="B269" s="26"/>
      <c r="C269" s="26"/>
      <c r="D269" s="7"/>
      <c r="E269" s="26"/>
      <c r="N269" s="12"/>
      <c r="P269" s="7"/>
    </row>
    <row r="270" spans="2:16" s="3" customFormat="1" ht="12.75">
      <c r="B270" s="26"/>
      <c r="C270" s="26"/>
      <c r="D270" s="7"/>
      <c r="E270" s="26"/>
      <c r="N270" s="12"/>
      <c r="P270" s="7"/>
    </row>
    <row r="271" spans="2:16" s="3" customFormat="1" ht="12.75">
      <c r="B271" s="26"/>
      <c r="C271" s="26"/>
      <c r="D271" s="7"/>
      <c r="E271" s="26"/>
      <c r="N271" s="12"/>
      <c r="P271" s="7"/>
    </row>
    <row r="272" spans="2:16" s="3" customFormat="1" ht="12.75">
      <c r="B272" s="26"/>
      <c r="C272" s="26"/>
      <c r="D272" s="7"/>
      <c r="E272" s="26"/>
      <c r="N272" s="12"/>
      <c r="P272" s="7"/>
    </row>
    <row r="273" spans="2:16" s="3" customFormat="1" ht="12.75">
      <c r="B273" s="26"/>
      <c r="C273" s="26"/>
      <c r="D273" s="7"/>
      <c r="E273" s="26"/>
      <c r="N273" s="12"/>
      <c r="P273" s="7"/>
    </row>
    <row r="274" spans="2:16" s="3" customFormat="1" ht="12.75">
      <c r="B274" s="26"/>
      <c r="C274" s="26"/>
      <c r="D274" s="7"/>
      <c r="E274" s="26"/>
      <c r="N274" s="12"/>
      <c r="P274" s="7"/>
    </row>
    <row r="275" spans="2:16" s="3" customFormat="1" ht="12.75">
      <c r="B275" s="26"/>
      <c r="C275" s="26"/>
      <c r="D275" s="7"/>
      <c r="E275" s="26"/>
      <c r="N275" s="12"/>
      <c r="P275" s="7"/>
    </row>
    <row r="276" spans="2:16" s="3" customFormat="1" ht="12.75">
      <c r="B276" s="26"/>
      <c r="C276" s="26"/>
      <c r="D276" s="7"/>
      <c r="E276" s="26"/>
      <c r="N276" s="12"/>
      <c r="P276" s="7"/>
    </row>
    <row r="277" spans="2:16" s="3" customFormat="1" ht="12.75">
      <c r="B277" s="26"/>
      <c r="C277" s="26"/>
      <c r="D277" s="7"/>
      <c r="E277" s="26"/>
      <c r="N277" s="12"/>
      <c r="P277" s="7"/>
    </row>
    <row r="278" spans="2:16" s="3" customFormat="1" ht="12.75">
      <c r="B278" s="26"/>
      <c r="C278" s="26"/>
      <c r="D278" s="7"/>
      <c r="E278" s="26"/>
      <c r="N278" s="12"/>
      <c r="P278" s="7"/>
    </row>
    <row r="279" spans="2:16" s="3" customFormat="1" ht="12.75">
      <c r="B279" s="26"/>
      <c r="C279" s="26"/>
      <c r="D279" s="7"/>
      <c r="E279" s="26"/>
      <c r="N279" s="12"/>
      <c r="P279" s="7"/>
    </row>
    <row r="280" spans="2:16" s="3" customFormat="1" ht="12.75">
      <c r="B280" s="26"/>
      <c r="C280" s="26"/>
      <c r="D280" s="7"/>
      <c r="E280" s="26"/>
      <c r="N280" s="12"/>
      <c r="P280" s="7"/>
    </row>
    <row r="281" spans="2:16" s="3" customFormat="1" ht="12.75">
      <c r="B281" s="26"/>
      <c r="C281" s="26"/>
      <c r="D281" s="7"/>
      <c r="E281" s="26"/>
      <c r="N281" s="12"/>
      <c r="P281" s="7"/>
    </row>
    <row r="282" spans="2:16" s="3" customFormat="1" ht="12.75">
      <c r="B282" s="26"/>
      <c r="C282" s="26"/>
      <c r="D282" s="7"/>
      <c r="E282" s="26"/>
      <c r="N282" s="12"/>
      <c r="P282" s="7"/>
    </row>
    <row r="283" spans="2:16" s="3" customFormat="1" ht="12.75">
      <c r="B283" s="26"/>
      <c r="C283" s="26"/>
      <c r="D283" s="7"/>
      <c r="E283" s="26"/>
      <c r="N283" s="12"/>
      <c r="P283" s="7"/>
    </row>
    <row r="284" spans="2:16" s="3" customFormat="1" ht="12.75">
      <c r="B284" s="26"/>
      <c r="C284" s="26"/>
      <c r="D284" s="7"/>
      <c r="E284" s="26"/>
      <c r="N284" s="12"/>
      <c r="P284" s="7"/>
    </row>
    <row r="285" spans="2:16" s="3" customFormat="1" ht="12.75">
      <c r="B285" s="26"/>
      <c r="C285" s="26"/>
      <c r="D285" s="7"/>
      <c r="E285" s="26"/>
      <c r="N285" s="12"/>
      <c r="P285" s="7"/>
    </row>
    <row r="286" spans="2:16" s="3" customFormat="1" ht="12.75">
      <c r="B286" s="26"/>
      <c r="C286" s="26"/>
      <c r="D286" s="7"/>
      <c r="E286" s="26"/>
      <c r="N286" s="12"/>
      <c r="P286" s="7"/>
    </row>
    <row r="287" spans="2:16" s="3" customFormat="1" ht="12.75">
      <c r="B287" s="26"/>
      <c r="C287" s="26"/>
      <c r="D287" s="7"/>
      <c r="E287" s="26"/>
      <c r="N287" s="12"/>
      <c r="P287" s="7"/>
    </row>
    <row r="288" spans="2:16" s="3" customFormat="1" ht="12.75">
      <c r="B288" s="26"/>
      <c r="C288" s="26"/>
      <c r="D288" s="7"/>
      <c r="E288" s="26"/>
      <c r="N288" s="12"/>
      <c r="P288" s="7"/>
    </row>
    <row r="289" spans="2:16" s="3" customFormat="1" ht="12.75">
      <c r="B289" s="26"/>
      <c r="C289" s="26"/>
      <c r="D289" s="7"/>
      <c r="E289" s="26"/>
      <c r="N289" s="12"/>
      <c r="P289" s="7"/>
    </row>
    <row r="290" spans="2:16" s="3" customFormat="1" ht="12.75">
      <c r="B290" s="26"/>
      <c r="C290" s="26"/>
      <c r="D290" s="7"/>
      <c r="E290" s="26"/>
      <c r="N290" s="12"/>
      <c r="P290" s="7"/>
    </row>
    <row r="291" spans="2:16" s="3" customFormat="1" ht="12.75">
      <c r="B291" s="26"/>
      <c r="C291" s="26"/>
      <c r="D291" s="7"/>
      <c r="E291" s="25"/>
      <c r="N291" s="12"/>
      <c r="P291" s="7"/>
    </row>
    <row r="292" spans="2:16" s="3" customFormat="1" ht="12.75">
      <c r="B292" s="26"/>
      <c r="C292" s="26"/>
      <c r="D292" s="7"/>
      <c r="E292" s="25"/>
      <c r="N292" s="12"/>
      <c r="P292" s="7"/>
    </row>
    <row r="293" spans="2:16" s="3" customFormat="1" ht="12.75">
      <c r="B293" s="26"/>
      <c r="C293" s="26"/>
      <c r="D293" s="7"/>
      <c r="E293" s="25"/>
      <c r="N293" s="12"/>
      <c r="P293" s="7"/>
    </row>
    <row r="294" spans="2:16" s="3" customFormat="1" ht="12.75">
      <c r="B294" s="26"/>
      <c r="C294" s="26"/>
      <c r="D294" s="7"/>
      <c r="E294" s="25"/>
      <c r="N294" s="12"/>
      <c r="P294" s="7"/>
    </row>
    <row r="295" spans="2:16" s="3" customFormat="1" ht="12.75">
      <c r="B295" s="26"/>
      <c r="C295" s="26"/>
      <c r="D295" s="7"/>
      <c r="E295" s="25"/>
      <c r="N295" s="12"/>
      <c r="P295" s="7"/>
    </row>
    <row r="296" spans="1:16" s="3" customFormat="1" ht="12.75">
      <c r="A296" s="2"/>
      <c r="B296" s="26"/>
      <c r="C296" s="26"/>
      <c r="D296" s="7"/>
      <c r="E296" s="25"/>
      <c r="N296" s="12"/>
      <c r="P296" s="7"/>
    </row>
    <row r="297" spans="1:16" s="3" customFormat="1" ht="12.75">
      <c r="A297" s="2"/>
      <c r="B297" s="26"/>
      <c r="C297" s="26"/>
      <c r="D297" s="7"/>
      <c r="E297" s="25"/>
      <c r="N297" s="12"/>
      <c r="P297" s="7"/>
    </row>
    <row r="298" spans="1:16" s="3" customFormat="1" ht="12.75">
      <c r="A298" s="2"/>
      <c r="B298" s="26"/>
      <c r="C298" s="26"/>
      <c r="D298" s="7"/>
      <c r="E298" s="25"/>
      <c r="N298" s="12"/>
      <c r="P298" s="7"/>
    </row>
    <row r="299" spans="1:16" s="3" customFormat="1" ht="12.75">
      <c r="A299" s="2"/>
      <c r="B299" s="26"/>
      <c r="C299" s="26"/>
      <c r="D299" s="7"/>
      <c r="E299" s="25"/>
      <c r="N299" s="12"/>
      <c r="P299" s="7"/>
    </row>
    <row r="300" spans="1:16" s="3" customFormat="1" ht="12.75">
      <c r="A300" s="2"/>
      <c r="B300" s="26"/>
      <c r="C300" s="26"/>
      <c r="D300" s="7"/>
      <c r="E300" s="25"/>
      <c r="N300" s="12"/>
      <c r="P300" s="7"/>
    </row>
    <row r="301" spans="1:16" s="3" customFormat="1" ht="12.75">
      <c r="A301" s="2"/>
      <c r="B301" s="26"/>
      <c r="C301" s="26"/>
      <c r="D301" s="7"/>
      <c r="E301" s="25"/>
      <c r="N301" s="12"/>
      <c r="P301" s="7"/>
    </row>
    <row r="302" spans="1:16" s="3" customFormat="1" ht="12.75">
      <c r="A302" s="2"/>
      <c r="B302" s="26"/>
      <c r="C302" s="26"/>
      <c r="D302" s="7"/>
      <c r="E302" s="25"/>
      <c r="N302" s="12"/>
      <c r="P302" s="7"/>
    </row>
    <row r="303" spans="3:5" ht="12.75">
      <c r="C303" s="32"/>
      <c r="D303" s="7"/>
      <c r="E303" s="25"/>
    </row>
    <row r="304" spans="3:5" ht="12.75">
      <c r="C304" s="32"/>
      <c r="D304" s="7"/>
      <c r="E304" s="25"/>
    </row>
    <row r="305" spans="3:5" ht="12.75">
      <c r="C305" s="32"/>
      <c r="D305" s="7"/>
      <c r="E305" s="25"/>
    </row>
    <row r="306" spans="3:5" ht="12.75">
      <c r="C306" s="32"/>
      <c r="D306" s="7"/>
      <c r="E306" s="25"/>
    </row>
    <row r="307" spans="3:5" ht="12.75">
      <c r="C307" s="32"/>
      <c r="D307" s="7"/>
      <c r="E307" s="25"/>
    </row>
    <row r="308" spans="3:5" ht="12.75">
      <c r="C308" s="32"/>
      <c r="D308" s="7"/>
      <c r="E308" s="25"/>
    </row>
    <row r="309" spans="3:5" ht="12.75">
      <c r="C309" s="32"/>
      <c r="D309" s="7"/>
      <c r="E309" s="25"/>
    </row>
    <row r="310" spans="3:5" ht="12.75">
      <c r="C310" s="32"/>
      <c r="D310" s="7"/>
      <c r="E310" s="25"/>
    </row>
    <row r="311" spans="3:5" ht="12.75">
      <c r="C311" s="32"/>
      <c r="D311" s="7"/>
      <c r="E311" s="25"/>
    </row>
    <row r="312" spans="3:5" ht="12.75">
      <c r="C312" s="32"/>
      <c r="D312" s="7"/>
      <c r="E312" s="25"/>
    </row>
    <row r="313" spans="3:5" ht="12.75">
      <c r="C313" s="32"/>
      <c r="D313" s="7"/>
      <c r="E313" s="25"/>
    </row>
    <row r="314" spans="3:5" ht="12.75">
      <c r="C314" s="32"/>
      <c r="D314" s="7"/>
      <c r="E314" s="25"/>
    </row>
    <row r="315" spans="3:5" ht="12.75">
      <c r="C315" s="32"/>
      <c r="D315" s="7"/>
      <c r="E315" s="25"/>
    </row>
    <row r="316" spans="3:5" ht="12.75">
      <c r="C316" s="32"/>
      <c r="D316" s="7"/>
      <c r="E316" s="25"/>
    </row>
    <row r="317" spans="3:5" ht="12.75">
      <c r="C317" s="32"/>
      <c r="D317" s="7"/>
      <c r="E317" s="25"/>
    </row>
    <row r="318" spans="3:5" ht="12.75">
      <c r="C318" s="32"/>
      <c r="D318" s="7"/>
      <c r="E318" s="25"/>
    </row>
    <row r="319" spans="3:5" ht="12.75">
      <c r="C319" s="32"/>
      <c r="D319" s="7"/>
      <c r="E319" s="25"/>
    </row>
    <row r="320" spans="3:5" ht="12.75">
      <c r="C320" s="32"/>
      <c r="D320" s="7"/>
      <c r="E320" s="25"/>
    </row>
    <row r="321" spans="3:5" ht="12.75">
      <c r="C321" s="32"/>
      <c r="D321" s="7"/>
      <c r="E321" s="25"/>
    </row>
    <row r="322" spans="3:5" ht="12.75">
      <c r="C322" s="32"/>
      <c r="D322" s="7"/>
      <c r="E322" s="25"/>
    </row>
    <row r="323" spans="3:5" ht="12.75">
      <c r="C323" s="32"/>
      <c r="D323" s="7"/>
      <c r="E323" s="25"/>
    </row>
    <row r="324" spans="3:5" ht="12.75">
      <c r="C324" s="32"/>
      <c r="D324" s="7"/>
      <c r="E324" s="25"/>
    </row>
    <row r="325" spans="3:5" ht="12.75">
      <c r="C325" s="32"/>
      <c r="D325" s="7"/>
      <c r="E325" s="25"/>
    </row>
    <row r="326" spans="3:5" ht="12.75">
      <c r="C326" s="32"/>
      <c r="D326" s="7"/>
      <c r="E326" s="25"/>
    </row>
    <row r="327" spans="3:5" ht="12.75">
      <c r="C327" s="32"/>
      <c r="D327" s="7"/>
      <c r="E327" s="25"/>
    </row>
    <row r="328" spans="3:5" ht="12.75">
      <c r="C328" s="32"/>
      <c r="D328" s="7"/>
      <c r="E328" s="25"/>
    </row>
    <row r="329" spans="3:5" ht="12.75">
      <c r="C329" s="32"/>
      <c r="D329" s="7"/>
      <c r="E329" s="25"/>
    </row>
    <row r="330" spans="3:5" ht="12.75">
      <c r="C330" s="32"/>
      <c r="D330" s="7"/>
      <c r="E330" s="25"/>
    </row>
    <row r="331" spans="3:5" ht="12.75">
      <c r="C331" s="32"/>
      <c r="D331" s="7"/>
      <c r="E331" s="25"/>
    </row>
    <row r="332" spans="3:5" ht="12.75">
      <c r="C332" s="32"/>
      <c r="D332" s="7"/>
      <c r="E332" s="25"/>
    </row>
    <row r="333" spans="3:5" ht="12.75">
      <c r="C333" s="32"/>
      <c r="D333" s="7"/>
      <c r="E333" s="25"/>
    </row>
    <row r="334" spans="3:5" ht="12.75">
      <c r="C334" s="32"/>
      <c r="D334" s="7"/>
      <c r="E334" s="25"/>
    </row>
    <row r="335" spans="3:5" ht="12.75">
      <c r="C335" s="32"/>
      <c r="D335" s="7"/>
      <c r="E335" s="25"/>
    </row>
    <row r="336" spans="3:5" ht="12.75">
      <c r="C336" s="32"/>
      <c r="D336" s="7"/>
      <c r="E336" s="25"/>
    </row>
    <row r="337" spans="3:5" ht="12.75">
      <c r="C337" s="32"/>
      <c r="D337" s="7"/>
      <c r="E337" s="25"/>
    </row>
    <row r="338" spans="3:5" ht="12.75">
      <c r="C338" s="32"/>
      <c r="D338" s="7"/>
      <c r="E338" s="25"/>
    </row>
    <row r="339" spans="3:5" ht="12.75">
      <c r="C339" s="32"/>
      <c r="D339" s="7"/>
      <c r="E339" s="25"/>
    </row>
    <row r="340" spans="3:5" ht="12.75">
      <c r="C340" s="32"/>
      <c r="D340" s="7"/>
      <c r="E340" s="25"/>
    </row>
    <row r="341" spans="3:5" ht="12.75">
      <c r="C341" s="32"/>
      <c r="D341" s="7"/>
      <c r="E341" s="25"/>
    </row>
    <row r="342" spans="3:5" ht="12.75">
      <c r="C342" s="32"/>
      <c r="D342" s="7"/>
      <c r="E342" s="25"/>
    </row>
    <row r="343" spans="3:5" ht="12.75">
      <c r="C343" s="32"/>
      <c r="D343" s="7"/>
      <c r="E343" s="25"/>
    </row>
    <row r="344" spans="3:5" ht="12.75">
      <c r="C344" s="32"/>
      <c r="D344" s="7"/>
      <c r="E344" s="25"/>
    </row>
    <row r="345" spans="3:5" ht="12.75">
      <c r="C345" s="32"/>
      <c r="D345" s="7"/>
      <c r="E345" s="25"/>
    </row>
    <row r="346" spans="3:5" ht="12.75">
      <c r="C346" s="32"/>
      <c r="D346" s="7"/>
      <c r="E346" s="25"/>
    </row>
    <row r="347" spans="3:5" ht="12.75">
      <c r="C347" s="32"/>
      <c r="D347" s="7"/>
      <c r="E347" s="25"/>
    </row>
    <row r="348" spans="3:5" ht="12.75">
      <c r="C348" s="32"/>
      <c r="D348" s="7"/>
      <c r="E348" s="25"/>
    </row>
    <row r="349" spans="3:5" ht="12.75">
      <c r="C349" s="32"/>
      <c r="D349" s="7"/>
      <c r="E349" s="25"/>
    </row>
    <row r="350" spans="3:5" ht="12.75">
      <c r="C350" s="32"/>
      <c r="D350" s="7"/>
      <c r="E350" s="25"/>
    </row>
    <row r="351" spans="3:5" ht="12.75">
      <c r="C351" s="32"/>
      <c r="D351" s="7"/>
      <c r="E351" s="25"/>
    </row>
  </sheetData>
  <sheetProtection/>
  <mergeCells count="3">
    <mergeCell ref="F3:G3"/>
    <mergeCell ref="H3:J3"/>
    <mergeCell ref="N3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7.28125" style="0" customWidth="1"/>
  </cols>
  <sheetData>
    <row r="1" ht="12.75">
      <c r="A1" t="s">
        <v>24</v>
      </c>
    </row>
    <row r="3" spans="1:2" ht="12.75">
      <c r="A3" t="s">
        <v>20</v>
      </c>
      <c r="B3">
        <v>4</v>
      </c>
    </row>
    <row r="4" spans="1:2" ht="12.75">
      <c r="A4" t="s">
        <v>21</v>
      </c>
      <c r="B4">
        <v>0</v>
      </c>
    </row>
    <row r="5" spans="1:2" ht="12.75">
      <c r="A5" t="s">
        <v>22</v>
      </c>
      <c r="B5">
        <f>B4+4</f>
        <v>4</v>
      </c>
    </row>
    <row r="6" spans="1:2" ht="12.75">
      <c r="A6" t="s">
        <v>29</v>
      </c>
      <c r="B6">
        <v>4</v>
      </c>
    </row>
    <row r="7" spans="1:2" ht="12.75">
      <c r="A7" t="s">
        <v>30</v>
      </c>
      <c r="B7">
        <v>4</v>
      </c>
    </row>
    <row r="8" spans="1:2" ht="12.75">
      <c r="A8" t="s">
        <v>36</v>
      </c>
      <c r="B8">
        <v>0</v>
      </c>
    </row>
    <row r="10" spans="1:4" ht="12.75">
      <c r="A10" t="s">
        <v>25</v>
      </c>
      <c r="B10">
        <v>4</v>
      </c>
      <c r="D10" t="s">
        <v>91</v>
      </c>
    </row>
    <row r="11" spans="1:2" ht="12.75">
      <c r="A11" t="s">
        <v>23</v>
      </c>
      <c r="B11">
        <v>5</v>
      </c>
    </row>
    <row r="12" spans="1:2" ht="12.75">
      <c r="A12" t="s">
        <v>26</v>
      </c>
      <c r="B12">
        <f>3*B10</f>
        <v>12</v>
      </c>
    </row>
    <row r="13" spans="1:2" ht="12.75">
      <c r="A13" t="s">
        <v>32</v>
      </c>
      <c r="B13">
        <f>3*B10</f>
        <v>12</v>
      </c>
    </row>
    <row r="14" spans="1:2" ht="12.75">
      <c r="A14" t="s">
        <v>27</v>
      </c>
      <c r="B14">
        <f>4*B10</f>
        <v>16</v>
      </c>
    </row>
    <row r="15" spans="1:2" ht="12.75">
      <c r="A15" t="s">
        <v>76</v>
      </c>
      <c r="B15">
        <f>4+2*B10</f>
        <v>12</v>
      </c>
    </row>
    <row r="16" spans="1:2" ht="12.75">
      <c r="A16" t="s">
        <v>77</v>
      </c>
      <c r="B16">
        <f>4+3*B10</f>
        <v>16</v>
      </c>
    </row>
    <row r="17" spans="1:2" ht="12.75">
      <c r="A17" t="s">
        <v>47</v>
      </c>
      <c r="B17">
        <f>4+5*B10</f>
        <v>24</v>
      </c>
    </row>
    <row r="18" spans="1:2" ht="12.75">
      <c r="A18" t="s">
        <v>78</v>
      </c>
      <c r="B18">
        <f>4+B10*(2+1)</f>
        <v>16</v>
      </c>
    </row>
    <row r="19" spans="1:2" ht="12.75">
      <c r="A19" t="s">
        <v>31</v>
      </c>
      <c r="B19">
        <f>4+B10*(3+2+1)</f>
        <v>28</v>
      </c>
    </row>
    <row r="20" spans="1:2" ht="12.75">
      <c r="A20" t="s">
        <v>83</v>
      </c>
      <c r="B20">
        <f>4+B10*(4+3+2+1)</f>
        <v>44</v>
      </c>
    </row>
    <row r="21" spans="1:2" ht="12.75">
      <c r="A21" t="s">
        <v>48</v>
      </c>
      <c r="B21">
        <f>4+B10*(5+4+3+2+1)</f>
        <v>64</v>
      </c>
    </row>
    <row r="23" spans="1:2" ht="12.75">
      <c r="A23" t="s">
        <v>28</v>
      </c>
      <c r="B23">
        <v>4</v>
      </c>
    </row>
    <row r="25" spans="1:2" ht="12.75">
      <c r="A25" t="s">
        <v>46</v>
      </c>
      <c r="B25">
        <f>B5+B10</f>
        <v>8</v>
      </c>
    </row>
    <row r="27" spans="1:2" ht="12.75">
      <c r="A27" t="s">
        <v>79</v>
      </c>
      <c r="B27">
        <f>B11+4+B10</f>
        <v>13</v>
      </c>
    </row>
    <row r="28" spans="1:2" ht="12.75">
      <c r="A28" t="s">
        <v>80</v>
      </c>
      <c r="B28">
        <f>B10+B15+B16+B19+B18</f>
        <v>76</v>
      </c>
    </row>
    <row r="29" spans="1:2" ht="12.75">
      <c r="A29" t="s">
        <v>82</v>
      </c>
      <c r="B29">
        <f>4+3*B10+B14+B20</f>
        <v>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cattaneo</dc:creator>
  <cp:keywords/>
  <dc:description/>
  <cp:lastModifiedBy>Marco Cattaneo</cp:lastModifiedBy>
  <dcterms:created xsi:type="dcterms:W3CDTF">2002-04-16T08:57:47Z</dcterms:created>
  <dcterms:modified xsi:type="dcterms:W3CDTF">2015-06-04T09:26:13Z</dcterms:modified>
  <cp:category/>
  <cp:version/>
  <cp:contentType/>
  <cp:contentStatus/>
</cp:coreProperties>
</file>